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4000" windowHeight="9630" tabRatio="601" firstSheet="2" activeTab="7"/>
  </bookViews>
  <sheets>
    <sheet name="CTV THU" sheetId="8" r:id="rId1"/>
    <sheet name="CCT Thường Tín" sheetId="3" r:id="rId2"/>
    <sheet name="CCT Nam Từ Liêm" sheetId="2" r:id="rId3"/>
    <sheet name="CCT Hoang Mai" sheetId="1" r:id="rId4"/>
    <sheet name="A Chín" sheetId="7" r:id="rId5"/>
    <sheet name="EI tự làm KH lẻ" sheetId="4" r:id="rId6"/>
    <sheet name="EBH" sheetId="5" r:id="rId7"/>
    <sheet name="CKS" sheetId="6" r:id="rId8"/>
  </sheets>
  <definedNames>
    <definedName name="_xlnm._FilterDatabase" localSheetId="3" hidden="1">'CCT Hoang Mai'!$G$1:$G$88</definedName>
    <definedName name="_xlnm._FilterDatabase" localSheetId="2" hidden="1">'CCT Nam Từ Liêm'!$F$1:$F$42</definedName>
    <definedName name="_xlnm._FilterDatabase" localSheetId="7" hidden="1">CKS!$A$4:$AA$727</definedName>
    <definedName name="_xlnm._FilterDatabase" localSheetId="6" hidden="1">EBH!$A$4:$V$60</definedName>
    <definedName name="_xlnm._FilterDatabase" localSheetId="5" hidden="1">'EI tự làm KH lẻ'!$A$3:$AF$1332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634" i="6" l="1"/>
  <c r="S633" i="6"/>
  <c r="S632" i="6"/>
  <c r="S631" i="6"/>
  <c r="U629" i="6" l="1"/>
  <c r="U630" i="6"/>
  <c r="U631" i="6"/>
  <c r="U632" i="6"/>
  <c r="U633" i="6"/>
  <c r="U634" i="6"/>
  <c r="U635" i="6"/>
  <c r="U636" i="6"/>
  <c r="U637" i="6"/>
  <c r="S630" i="6"/>
  <c r="S629" i="6"/>
  <c r="S628" i="6"/>
  <c r="S626" i="6"/>
  <c r="S543" i="6" l="1"/>
  <c r="S616" i="6" l="1"/>
  <c r="S595" i="6"/>
  <c r="S567" i="6"/>
  <c r="S499" i="6"/>
  <c r="T1204" i="4" l="1"/>
  <c r="Z1204" i="4" s="1"/>
  <c r="T1203" i="4"/>
  <c r="Z1203" i="4" s="1"/>
  <c r="T1202" i="4"/>
  <c r="Z1202" i="4" s="1"/>
  <c r="T1201" i="4"/>
  <c r="Z1201" i="4" s="1"/>
  <c r="T1200" i="4"/>
  <c r="Z1200" i="4" s="1"/>
  <c r="T1198" i="4"/>
  <c r="T1197" i="4"/>
  <c r="Z1197" i="4" s="1"/>
  <c r="T1196" i="4"/>
  <c r="Z1196" i="4" s="1"/>
  <c r="T1195" i="4"/>
  <c r="Z1195" i="4" s="1"/>
  <c r="T1194" i="4"/>
  <c r="Z1194" i="4" s="1"/>
  <c r="T1193" i="4"/>
  <c r="T1192" i="4"/>
  <c r="Z1192" i="4" s="1"/>
  <c r="T1190" i="4"/>
  <c r="Z1190" i="4" s="1"/>
  <c r="T1191" i="4"/>
  <c r="Z1191" i="4" s="1"/>
  <c r="T1189" i="4"/>
  <c r="Z1189" i="4" s="1"/>
  <c r="T1188" i="4"/>
  <c r="Z1188" i="4" s="1"/>
  <c r="T1187" i="4"/>
  <c r="T1186" i="4"/>
  <c r="Z1186" i="4" s="1"/>
  <c r="T1185" i="4"/>
  <c r="Z1185" i="4" s="1"/>
  <c r="T1184" i="4"/>
  <c r="Z1184" i="4" s="1"/>
  <c r="T1183" i="4"/>
  <c r="Z1183" i="4" s="1"/>
  <c r="T1182" i="4"/>
  <c r="Z1182" i="4" s="1"/>
  <c r="T1181" i="4"/>
  <c r="Z1181" i="4" s="1"/>
  <c r="T1180" i="4"/>
  <c r="Z1180" i="4" s="1"/>
  <c r="T1179" i="4"/>
  <c r="Z1179" i="4" s="1"/>
  <c r="T1178" i="4"/>
  <c r="Z1178" i="4" s="1"/>
  <c r="T1177" i="4"/>
  <c r="Z1177" i="4" s="1"/>
  <c r="T1175" i="4"/>
  <c r="Z1175" i="4" s="1"/>
  <c r="T1174" i="4"/>
  <c r="T1173" i="4"/>
  <c r="Z1173" i="4" s="1"/>
  <c r="S627" i="6"/>
  <c r="S625" i="6"/>
  <c r="S624" i="6"/>
  <c r="S623" i="6"/>
  <c r="S622" i="6"/>
  <c r="S621" i="6"/>
  <c r="S620" i="6"/>
  <c r="S619" i="6"/>
  <c r="S618" i="6"/>
  <c r="S617" i="6"/>
  <c r="U616" i="6"/>
  <c r="U617" i="6"/>
  <c r="U618" i="6"/>
  <c r="U619" i="6"/>
  <c r="U620" i="6"/>
  <c r="U621" i="6"/>
  <c r="U622" i="6"/>
  <c r="U623" i="6"/>
  <c r="U624" i="6"/>
  <c r="V624" i="6" s="1"/>
  <c r="U625" i="6"/>
  <c r="U626" i="6"/>
  <c r="U627" i="6"/>
  <c r="U628" i="6"/>
  <c r="V618" i="6" l="1"/>
  <c r="V619" i="6"/>
  <c r="V621" i="6"/>
  <c r="V622" i="6"/>
  <c r="V616" i="6"/>
  <c r="V623" i="6"/>
  <c r="V620" i="6"/>
  <c r="V617" i="6"/>
  <c r="T1172" i="4"/>
  <c r="Z1172" i="4" s="1"/>
  <c r="T1199" i="4"/>
  <c r="T1205" i="4"/>
  <c r="T1206" i="4"/>
  <c r="T1207" i="4"/>
  <c r="T1208" i="4"/>
  <c r="T1209" i="4"/>
  <c r="T1210" i="4"/>
  <c r="T1211" i="4"/>
  <c r="T1212" i="4"/>
  <c r="T1213" i="4"/>
  <c r="T1214" i="4"/>
  <c r="T1215" i="4"/>
  <c r="T1216" i="4"/>
  <c r="T1217" i="4"/>
  <c r="T1218" i="4"/>
  <c r="T1219" i="4"/>
  <c r="T1220" i="4"/>
  <c r="T1221" i="4"/>
  <c r="T1222" i="4"/>
  <c r="T1223" i="4"/>
  <c r="T1224" i="4"/>
  <c r="T1225" i="4"/>
  <c r="T1226" i="4"/>
  <c r="T1227" i="4"/>
  <c r="T1228" i="4"/>
  <c r="T1229" i="4"/>
  <c r="T1230" i="4"/>
  <c r="T1231" i="4"/>
  <c r="T1232" i="4"/>
  <c r="T1233" i="4"/>
  <c r="T1234" i="4"/>
  <c r="T1235" i="4"/>
  <c r="T1236" i="4"/>
  <c r="T1237" i="4"/>
  <c r="T1238" i="4"/>
  <c r="T1239" i="4"/>
  <c r="T1240" i="4"/>
  <c r="T1241" i="4"/>
  <c r="T1242" i="4"/>
  <c r="T1243" i="4"/>
  <c r="T1244" i="4"/>
  <c r="T1245" i="4"/>
  <c r="T1246" i="4"/>
  <c r="T1247" i="4"/>
  <c r="T1248" i="4"/>
  <c r="T1249" i="4"/>
  <c r="T1250" i="4"/>
  <c r="T1251" i="4"/>
  <c r="T1252" i="4"/>
  <c r="T1253" i="4"/>
  <c r="T1254" i="4"/>
  <c r="T1255" i="4"/>
  <c r="T1256" i="4"/>
  <c r="T1257" i="4"/>
  <c r="T1258" i="4"/>
  <c r="T1259" i="4"/>
  <c r="T1260" i="4"/>
  <c r="T1261" i="4"/>
  <c r="T1262" i="4"/>
  <c r="T1263" i="4"/>
  <c r="T1264" i="4"/>
  <c r="T1265" i="4"/>
  <c r="T1266" i="4"/>
  <c r="T1267" i="4"/>
  <c r="T1268" i="4"/>
  <c r="T1269" i="4"/>
  <c r="T1270" i="4"/>
  <c r="T1271" i="4"/>
  <c r="T1272" i="4"/>
  <c r="T1273" i="4"/>
  <c r="T1274" i="4"/>
  <c r="T1275" i="4"/>
  <c r="T1276" i="4"/>
  <c r="T1277" i="4"/>
  <c r="T1278" i="4"/>
  <c r="T1279" i="4"/>
  <c r="T1280" i="4"/>
  <c r="T1281" i="4"/>
  <c r="T1282" i="4"/>
  <c r="T1283" i="4"/>
  <c r="T1284" i="4"/>
  <c r="T1285" i="4"/>
  <c r="T1286" i="4"/>
  <c r="T1287" i="4"/>
  <c r="T1288" i="4"/>
  <c r="T1289" i="4"/>
  <c r="T1290" i="4"/>
  <c r="T1291" i="4"/>
  <c r="T1292" i="4"/>
  <c r="T1293" i="4"/>
  <c r="T1294" i="4"/>
  <c r="T1295" i="4"/>
  <c r="T1296" i="4"/>
  <c r="T1297" i="4"/>
  <c r="T1298" i="4"/>
  <c r="T1299" i="4"/>
  <c r="T1300" i="4"/>
  <c r="T1301" i="4"/>
  <c r="T1302" i="4"/>
  <c r="T1303" i="4"/>
  <c r="T1304" i="4"/>
  <c r="T1305" i="4"/>
  <c r="T1306" i="4"/>
  <c r="T1307" i="4"/>
  <c r="T1308" i="4"/>
  <c r="T1309" i="4"/>
  <c r="T1310" i="4"/>
  <c r="T1311" i="4"/>
  <c r="T1312" i="4"/>
  <c r="T1313" i="4"/>
  <c r="T1314" i="4"/>
  <c r="T1315" i="4"/>
  <c r="T1316" i="4"/>
  <c r="T1317" i="4"/>
  <c r="T1318" i="4"/>
  <c r="T1319" i="4"/>
  <c r="T1320" i="4"/>
  <c r="T1321" i="4"/>
  <c r="T1322" i="4"/>
  <c r="T1323" i="4"/>
  <c r="T1324" i="4"/>
  <c r="T1325" i="4"/>
  <c r="T1326" i="4"/>
  <c r="T1327" i="4"/>
  <c r="T1328" i="4"/>
  <c r="T1329" i="4"/>
  <c r="T1330" i="4"/>
  <c r="T1331" i="4"/>
  <c r="T1332" i="4"/>
  <c r="T1171" i="4"/>
  <c r="Z1171" i="4" s="1"/>
  <c r="Z1174" i="4"/>
  <c r="T1176" i="4"/>
  <c r="Z1176" i="4" s="1"/>
  <c r="T1170" i="4"/>
  <c r="T1169" i="4"/>
  <c r="T1168" i="4"/>
  <c r="T1167" i="4"/>
  <c r="T1165" i="4" l="1"/>
  <c r="U518" i="6" l="1"/>
  <c r="V518" i="6" s="1"/>
  <c r="S518" i="6"/>
  <c r="U574" i="6"/>
  <c r="V574" i="6" s="1"/>
  <c r="U575" i="6"/>
  <c r="S574" i="6"/>
  <c r="S588" i="6"/>
  <c r="S590" i="6"/>
  <c r="S554" i="6"/>
  <c r="S505" i="6"/>
  <c r="T1166" i="4" l="1"/>
  <c r="Z1166" i="4" s="1"/>
  <c r="S615" i="6"/>
  <c r="S614" i="6"/>
  <c r="S557" i="6" l="1"/>
  <c r="S553" i="6"/>
  <c r="S613" i="6"/>
  <c r="S612" i="6"/>
  <c r="S611" i="6"/>
  <c r="S610" i="6"/>
  <c r="S609" i="6"/>
  <c r="S607" i="6"/>
  <c r="S608" i="6"/>
  <c r="S577" i="6" l="1"/>
  <c r="S606" i="6" l="1"/>
  <c r="S561" i="6"/>
  <c r="T1164" i="4"/>
  <c r="T1163" i="4"/>
  <c r="T1162" i="4"/>
  <c r="T1161" i="4"/>
  <c r="T1160" i="4"/>
  <c r="T1159" i="4"/>
  <c r="T1158" i="4"/>
  <c r="T1157" i="4"/>
  <c r="S602" i="6"/>
  <c r="S599" i="6"/>
  <c r="S598" i="6"/>
  <c r="S596" i="6"/>
  <c r="S594" i="6"/>
  <c r="S592" i="6"/>
  <c r="S591" i="6" l="1"/>
  <c r="S589" i="6"/>
  <c r="S586" i="6"/>
  <c r="S585" i="6"/>
  <c r="S584" i="6"/>
  <c r="S582" i="6"/>
  <c r="S580" i="6"/>
  <c r="T577" i="6"/>
  <c r="T1156" i="4" l="1"/>
  <c r="T1155" i="4"/>
  <c r="T1154" i="4"/>
  <c r="T1153" i="4"/>
  <c r="T1152" i="4"/>
  <c r="T1151" i="4"/>
  <c r="T1150" i="4"/>
  <c r="T1149" i="4"/>
  <c r="T1148" i="4"/>
  <c r="T1147" i="4"/>
  <c r="T1146" i="4"/>
  <c r="T1145" i="4"/>
  <c r="T1144" i="4"/>
  <c r="T1143" i="4"/>
  <c r="T1142" i="4"/>
  <c r="T1141" i="4"/>
  <c r="T1140" i="4"/>
  <c r="S579" i="6"/>
  <c r="S576" i="6"/>
  <c r="S572" i="6" l="1"/>
  <c r="S565" i="6"/>
  <c r="T1139" i="4" l="1"/>
  <c r="T1138" i="4"/>
  <c r="T1137" i="4"/>
  <c r="T1136" i="4"/>
  <c r="T1135" i="4"/>
  <c r="T1134" i="4"/>
  <c r="S549" i="6" l="1"/>
  <c r="S550" i="6"/>
  <c r="S559" i="6"/>
  <c r="S547" i="6"/>
  <c r="U612" i="6"/>
  <c r="U613" i="6"/>
  <c r="U614" i="6"/>
  <c r="U615" i="6"/>
  <c r="S544" i="6"/>
  <c r="S545" i="6"/>
  <c r="S546" i="6"/>
  <c r="S548" i="6"/>
  <c r="S551" i="6"/>
  <c r="S552" i="6"/>
  <c r="S555" i="6"/>
  <c r="S556" i="6"/>
  <c r="S558" i="6"/>
  <c r="S560" i="6"/>
  <c r="S562" i="6"/>
  <c r="S563" i="6"/>
  <c r="S564" i="6"/>
  <c r="S566" i="6"/>
  <c r="S568" i="6"/>
  <c r="S569" i="6"/>
  <c r="S570" i="6"/>
  <c r="S571" i="6"/>
  <c r="S573" i="6"/>
  <c r="S575" i="6"/>
  <c r="V575" i="6" s="1"/>
  <c r="S578" i="6"/>
  <c r="S581" i="6"/>
  <c r="S583" i="6"/>
  <c r="S587" i="6"/>
  <c r="S593" i="6"/>
  <c r="S597" i="6"/>
  <c r="S600" i="6"/>
  <c r="S601" i="6"/>
  <c r="S603" i="6"/>
  <c r="S604" i="6"/>
  <c r="S605" i="6"/>
  <c r="V614" i="6" l="1"/>
  <c r="V613" i="6"/>
  <c r="V612" i="6"/>
  <c r="V615" i="6"/>
  <c r="T529" i="6" l="1"/>
  <c r="AB1060" i="4" l="1"/>
  <c r="AB1061" i="4"/>
  <c r="AB1062" i="4"/>
  <c r="AB1063" i="4"/>
  <c r="AB1064" i="4"/>
  <c r="AB1065" i="4"/>
  <c r="AB1066" i="4"/>
  <c r="AB1067" i="4"/>
  <c r="AB1068" i="4"/>
  <c r="AB1069" i="4"/>
  <c r="AB1070" i="4"/>
  <c r="AB1071" i="4"/>
  <c r="AB1072" i="4"/>
  <c r="AB1073" i="4"/>
  <c r="AB1074" i="4"/>
  <c r="AB1075" i="4"/>
  <c r="AB1076" i="4"/>
  <c r="AB1077" i="4"/>
  <c r="AB1078" i="4"/>
  <c r="AB1079" i="4"/>
  <c r="AB1080" i="4"/>
  <c r="AB1081" i="4"/>
  <c r="AB1082" i="4"/>
  <c r="AB1083" i="4"/>
  <c r="AB1084" i="4"/>
  <c r="AB1085" i="4"/>
  <c r="AB1086" i="4"/>
  <c r="AB1087" i="4"/>
  <c r="AB1088" i="4"/>
  <c r="AB1089" i="4"/>
  <c r="AB1090" i="4"/>
  <c r="Z1060" i="4"/>
  <c r="Z1061" i="4"/>
  <c r="Z1062" i="4"/>
  <c r="Z1063" i="4"/>
  <c r="Z1064" i="4"/>
  <c r="Z1065" i="4"/>
  <c r="Z1066" i="4"/>
  <c r="Z1067" i="4"/>
  <c r="Z1068" i="4"/>
  <c r="Z1069" i="4"/>
  <c r="Z1070" i="4"/>
  <c r="Z1071" i="4"/>
  <c r="Z1072" i="4"/>
  <c r="Z1073" i="4"/>
  <c r="Z1074" i="4"/>
  <c r="Z1075" i="4"/>
  <c r="Z1076" i="4"/>
  <c r="Z1077" i="4"/>
  <c r="Z1078" i="4"/>
  <c r="Z1079" i="4"/>
  <c r="Z1080" i="4"/>
  <c r="Z1081" i="4"/>
  <c r="Z1082" i="4"/>
  <c r="Z1083" i="4"/>
  <c r="Z1084" i="4"/>
  <c r="Z1085" i="4"/>
  <c r="Z1086" i="4"/>
  <c r="Z1087" i="4"/>
  <c r="Z1088" i="4"/>
  <c r="Z1089" i="4"/>
  <c r="Z1090" i="4"/>
  <c r="T1059" i="4"/>
  <c r="Z1059" i="4" s="1"/>
  <c r="T1133" i="4"/>
  <c r="T1132" i="4"/>
  <c r="T1131" i="4"/>
  <c r="T1130" i="4"/>
  <c r="T1129" i="4"/>
  <c r="T1128" i="4"/>
  <c r="T1127" i="4"/>
  <c r="T1126" i="4"/>
  <c r="T1125" i="4"/>
  <c r="T1124" i="4"/>
  <c r="T1123" i="4"/>
  <c r="Z1123" i="4" s="1"/>
  <c r="T1122" i="4"/>
  <c r="T1121" i="4"/>
  <c r="T1120" i="4"/>
  <c r="T1119" i="4"/>
  <c r="T1118" i="4"/>
  <c r="T1117" i="4"/>
  <c r="T1116" i="4"/>
  <c r="T1115" i="4"/>
  <c r="T1114" i="4"/>
  <c r="T1113" i="4"/>
  <c r="T1112" i="4"/>
  <c r="T1111" i="4"/>
  <c r="T1110" i="4"/>
  <c r="Z1110" i="4" s="1"/>
  <c r="T1109" i="4"/>
  <c r="Z1109" i="4" s="1"/>
  <c r="T1108" i="4"/>
  <c r="AC1089" i="4" l="1"/>
  <c r="AC1085" i="4"/>
  <c r="AC1081" i="4"/>
  <c r="AC1077" i="4"/>
  <c r="AC1073" i="4"/>
  <c r="AC1069" i="4"/>
  <c r="AC1065" i="4"/>
  <c r="AC1087" i="4"/>
  <c r="AC1083" i="4"/>
  <c r="AC1079" i="4"/>
  <c r="AC1075" i="4"/>
  <c r="AC1071" i="4"/>
  <c r="AC1067" i="4"/>
  <c r="AC1063" i="4"/>
  <c r="AB1059" i="4"/>
  <c r="AC1059" i="4" s="1"/>
  <c r="AC1090" i="4"/>
  <c r="AC1086" i="4"/>
  <c r="AC1082" i="4"/>
  <c r="AC1078" i="4"/>
  <c r="AC1074" i="4"/>
  <c r="AC1070" i="4"/>
  <c r="AC1066" i="4"/>
  <c r="AC1062" i="4"/>
  <c r="AC1061" i="4"/>
  <c r="AC1088" i="4"/>
  <c r="AC1084" i="4"/>
  <c r="AC1080" i="4"/>
  <c r="AC1076" i="4"/>
  <c r="AC1072" i="4"/>
  <c r="AC1068" i="4"/>
  <c r="AC1064" i="4"/>
  <c r="AC1060" i="4"/>
  <c r="S438" i="6" l="1"/>
  <c r="Y438" i="6" s="1"/>
  <c r="T1107" i="4" l="1"/>
  <c r="T1106" i="4"/>
  <c r="T1105" i="4"/>
  <c r="T1104" i="4"/>
  <c r="Z1104" i="4" s="1"/>
  <c r="T1102" i="4"/>
  <c r="T1100" i="4"/>
  <c r="T1099" i="4"/>
  <c r="S542" i="6"/>
  <c r="S541" i="6"/>
  <c r="S540" i="6"/>
  <c r="T1097" i="4" l="1"/>
  <c r="Z1097" i="4" s="1"/>
  <c r="T1096" i="4"/>
  <c r="T1095" i="4"/>
  <c r="T1094" i="4"/>
  <c r="Z1094" i="4" s="1"/>
  <c r="T1092" i="4"/>
  <c r="T1091" i="4"/>
  <c r="S539" i="6"/>
  <c r="S538" i="6"/>
  <c r="S537" i="6"/>
  <c r="S536" i="6"/>
  <c r="S535" i="6"/>
  <c r="S533" i="6"/>
  <c r="Z1091" i="4" l="1"/>
  <c r="AB1091" i="4"/>
  <c r="S494" i="6"/>
  <c r="S418" i="6"/>
  <c r="AC1091" i="4" l="1"/>
  <c r="T1057" i="4"/>
  <c r="T1056" i="4"/>
  <c r="T1055" i="4"/>
  <c r="S532" i="6"/>
  <c r="S531" i="6"/>
  <c r="S530" i="6"/>
  <c r="S529" i="6"/>
  <c r="S528" i="6"/>
  <c r="S527" i="6"/>
  <c r="S524" i="6"/>
  <c r="S525" i="6"/>
  <c r="S526" i="6"/>
  <c r="S522" i="6" l="1"/>
  <c r="S523" i="6" l="1"/>
  <c r="S521" i="6"/>
  <c r="S520" i="6"/>
  <c r="S519" i="6"/>
  <c r="S517" i="6"/>
  <c r="S516" i="6"/>
  <c r="S515" i="6"/>
  <c r="S514" i="6"/>
  <c r="S479" i="6"/>
  <c r="S474" i="6"/>
  <c r="S473" i="6"/>
  <c r="S471" i="6"/>
  <c r="S513" i="6"/>
  <c r="S512" i="6"/>
  <c r="S510" i="6"/>
  <c r="S509" i="6"/>
  <c r="S508" i="6"/>
  <c r="S507" i="6"/>
  <c r="S506" i="6"/>
  <c r="S504" i="6"/>
  <c r="S503" i="6"/>
  <c r="S502" i="6"/>
  <c r="S501" i="6"/>
  <c r="S500" i="6"/>
  <c r="S498" i="6"/>
  <c r="S497" i="6"/>
  <c r="S496" i="6"/>
  <c r="S495" i="6"/>
  <c r="S493" i="6"/>
  <c r="S492" i="6"/>
  <c r="S469" i="6" l="1"/>
  <c r="S491" i="6" l="1"/>
  <c r="S490" i="6"/>
  <c r="S489" i="6"/>
  <c r="S488" i="6" l="1"/>
  <c r="S417" i="6"/>
  <c r="W417" i="6" s="1"/>
  <c r="S459" i="6"/>
  <c r="S455" i="6"/>
  <c r="W455" i="6" s="1"/>
  <c r="S487" i="6" l="1"/>
  <c r="S486" i="6"/>
  <c r="S485" i="6"/>
  <c r="S484" i="6"/>
  <c r="S483" i="6"/>
  <c r="S482" i="6"/>
  <c r="T1054" i="4" l="1"/>
  <c r="T1053" i="4"/>
  <c r="T1052" i="4"/>
  <c r="T1051" i="4"/>
  <c r="T1050" i="4"/>
  <c r="S481" i="6"/>
  <c r="S480" i="6"/>
  <c r="S478" i="6"/>
  <c r="S477" i="6"/>
  <c r="S475" i="6"/>
  <c r="S476" i="6"/>
  <c r="S472" i="6"/>
  <c r="U469" i="6"/>
  <c r="U470" i="6"/>
  <c r="U471" i="6"/>
  <c r="U472" i="6"/>
  <c r="U473" i="6"/>
  <c r="U474" i="6"/>
  <c r="U475" i="6"/>
  <c r="U476" i="6"/>
  <c r="U477" i="6"/>
  <c r="U478" i="6"/>
  <c r="U479" i="6"/>
  <c r="U480" i="6"/>
  <c r="U481" i="6"/>
  <c r="U482" i="6"/>
  <c r="U483" i="6"/>
  <c r="U484" i="6"/>
  <c r="U485" i="6"/>
  <c r="V485" i="6" s="1"/>
  <c r="U486" i="6"/>
  <c r="V486" i="6" s="1"/>
  <c r="U487" i="6"/>
  <c r="V487" i="6" s="1"/>
  <c r="U488" i="6"/>
  <c r="V488" i="6" s="1"/>
  <c r="U489" i="6"/>
  <c r="V489" i="6" s="1"/>
  <c r="U490" i="6"/>
  <c r="V490" i="6" s="1"/>
  <c r="U491" i="6"/>
  <c r="V491" i="6" s="1"/>
  <c r="U492" i="6"/>
  <c r="V492" i="6" s="1"/>
  <c r="U493" i="6"/>
  <c r="V493" i="6" s="1"/>
  <c r="U494" i="6"/>
  <c r="V494" i="6" s="1"/>
  <c r="U495" i="6"/>
  <c r="V495" i="6" s="1"/>
  <c r="U496" i="6"/>
  <c r="V496" i="6" s="1"/>
  <c r="U497" i="6"/>
  <c r="V497" i="6" s="1"/>
  <c r="U498" i="6"/>
  <c r="V498" i="6" s="1"/>
  <c r="U499" i="6"/>
  <c r="V499" i="6" s="1"/>
  <c r="U500" i="6"/>
  <c r="V500" i="6" s="1"/>
  <c r="U501" i="6"/>
  <c r="V501" i="6" s="1"/>
  <c r="U502" i="6"/>
  <c r="V502" i="6" s="1"/>
  <c r="U503" i="6"/>
  <c r="V503" i="6" s="1"/>
  <c r="U504" i="6"/>
  <c r="V504" i="6" s="1"/>
  <c r="U505" i="6"/>
  <c r="V505" i="6" s="1"/>
  <c r="U506" i="6"/>
  <c r="V506" i="6" s="1"/>
  <c r="U507" i="6"/>
  <c r="V507" i="6" s="1"/>
  <c r="U508" i="6"/>
  <c r="V508" i="6" s="1"/>
  <c r="U509" i="6"/>
  <c r="V509" i="6" s="1"/>
  <c r="U510" i="6"/>
  <c r="V510" i="6" s="1"/>
  <c r="U511" i="6"/>
  <c r="V511" i="6" s="1"/>
  <c r="U512" i="6"/>
  <c r="V512" i="6" s="1"/>
  <c r="U513" i="6"/>
  <c r="V513" i="6" s="1"/>
  <c r="U514" i="6"/>
  <c r="V514" i="6" s="1"/>
  <c r="U515" i="6"/>
  <c r="V515" i="6" s="1"/>
  <c r="U516" i="6"/>
  <c r="V516" i="6" s="1"/>
  <c r="U517" i="6"/>
  <c r="V517" i="6" s="1"/>
  <c r="U519" i="6"/>
  <c r="V519" i="6" s="1"/>
  <c r="U520" i="6"/>
  <c r="V520" i="6" s="1"/>
  <c r="U521" i="6"/>
  <c r="V521" i="6" s="1"/>
  <c r="U522" i="6"/>
  <c r="V522" i="6" s="1"/>
  <c r="U523" i="6"/>
  <c r="V523" i="6" s="1"/>
  <c r="U524" i="6"/>
  <c r="V524" i="6" s="1"/>
  <c r="U525" i="6"/>
  <c r="V525" i="6" s="1"/>
  <c r="U526" i="6"/>
  <c r="V526" i="6" s="1"/>
  <c r="U527" i="6"/>
  <c r="V527" i="6" s="1"/>
  <c r="U528" i="6"/>
  <c r="V528" i="6" s="1"/>
  <c r="U529" i="6"/>
  <c r="V529" i="6" s="1"/>
  <c r="U530" i="6"/>
  <c r="V530" i="6" s="1"/>
  <c r="U531" i="6"/>
  <c r="V531" i="6" s="1"/>
  <c r="U532" i="6"/>
  <c r="V532" i="6" s="1"/>
  <c r="U533" i="6"/>
  <c r="V533" i="6" s="1"/>
  <c r="U534" i="6"/>
  <c r="V534" i="6" s="1"/>
  <c r="U535" i="6"/>
  <c r="V535" i="6" s="1"/>
  <c r="U536" i="6"/>
  <c r="V536" i="6" s="1"/>
  <c r="U537" i="6"/>
  <c r="V537" i="6" s="1"/>
  <c r="U538" i="6"/>
  <c r="V538" i="6" s="1"/>
  <c r="U539" i="6"/>
  <c r="V539" i="6" s="1"/>
  <c r="U540" i="6"/>
  <c r="V540" i="6" s="1"/>
  <c r="U541" i="6"/>
  <c r="V541" i="6" s="1"/>
  <c r="U542" i="6"/>
  <c r="V542" i="6" s="1"/>
  <c r="U543" i="6"/>
  <c r="V543" i="6" s="1"/>
  <c r="U544" i="6"/>
  <c r="V544" i="6" s="1"/>
  <c r="U545" i="6"/>
  <c r="V545" i="6" s="1"/>
  <c r="U546" i="6"/>
  <c r="V546" i="6" s="1"/>
  <c r="U547" i="6"/>
  <c r="V547" i="6" s="1"/>
  <c r="U548" i="6"/>
  <c r="V548" i="6" s="1"/>
  <c r="U551" i="6"/>
  <c r="V551" i="6" s="1"/>
  <c r="U552" i="6"/>
  <c r="V552" i="6" s="1"/>
  <c r="U553" i="6"/>
  <c r="V553" i="6" s="1"/>
  <c r="U554" i="6"/>
  <c r="V554" i="6" s="1"/>
  <c r="U555" i="6"/>
  <c r="V555" i="6" s="1"/>
  <c r="U556" i="6"/>
  <c r="V556" i="6" s="1"/>
  <c r="U557" i="6"/>
  <c r="V557" i="6" s="1"/>
  <c r="U558" i="6"/>
  <c r="V558" i="6" s="1"/>
  <c r="U560" i="6"/>
  <c r="V560" i="6" s="1"/>
  <c r="U561" i="6"/>
  <c r="V561" i="6" s="1"/>
  <c r="U562" i="6"/>
  <c r="V562" i="6" s="1"/>
  <c r="U563" i="6"/>
  <c r="V563" i="6" s="1"/>
  <c r="U564" i="6"/>
  <c r="V564" i="6" s="1"/>
  <c r="U565" i="6"/>
  <c r="V565" i="6" s="1"/>
  <c r="U566" i="6"/>
  <c r="V566" i="6" s="1"/>
  <c r="U567" i="6"/>
  <c r="V567" i="6" s="1"/>
  <c r="U568" i="6"/>
  <c r="V568" i="6" s="1"/>
  <c r="U569" i="6"/>
  <c r="V569" i="6" s="1"/>
  <c r="U570" i="6"/>
  <c r="V570" i="6" s="1"/>
  <c r="U571" i="6"/>
  <c r="V571" i="6" s="1"/>
  <c r="U572" i="6"/>
  <c r="V572" i="6" s="1"/>
  <c r="U573" i="6"/>
  <c r="V573" i="6" s="1"/>
  <c r="U576" i="6"/>
  <c r="V576" i="6" s="1"/>
  <c r="U577" i="6"/>
  <c r="V577" i="6" s="1"/>
  <c r="U578" i="6"/>
  <c r="V578" i="6" s="1"/>
  <c r="U579" i="6"/>
  <c r="V579" i="6" s="1"/>
  <c r="U580" i="6"/>
  <c r="V580" i="6" s="1"/>
  <c r="U581" i="6"/>
  <c r="V581" i="6" s="1"/>
  <c r="U582" i="6"/>
  <c r="V582" i="6" s="1"/>
  <c r="U583" i="6"/>
  <c r="V583" i="6" s="1"/>
  <c r="U584" i="6"/>
  <c r="V584" i="6" s="1"/>
  <c r="U585" i="6"/>
  <c r="V585" i="6" s="1"/>
  <c r="U586" i="6"/>
  <c r="V586" i="6" s="1"/>
  <c r="U587" i="6"/>
  <c r="V587" i="6" s="1"/>
  <c r="U588" i="6"/>
  <c r="V588" i="6" s="1"/>
  <c r="U589" i="6"/>
  <c r="V589" i="6" s="1"/>
  <c r="U591" i="6"/>
  <c r="V591" i="6" s="1"/>
  <c r="U592" i="6"/>
  <c r="V592" i="6" s="1"/>
  <c r="U593" i="6"/>
  <c r="V593" i="6" s="1"/>
  <c r="U594" i="6"/>
  <c r="V594" i="6" s="1"/>
  <c r="U595" i="6"/>
  <c r="V595" i="6" s="1"/>
  <c r="U596" i="6"/>
  <c r="V596" i="6" s="1"/>
  <c r="U597" i="6"/>
  <c r="V597" i="6" s="1"/>
  <c r="U598" i="6"/>
  <c r="V598" i="6" s="1"/>
  <c r="U599" i="6"/>
  <c r="V599" i="6" s="1"/>
  <c r="U600" i="6"/>
  <c r="V600" i="6" s="1"/>
  <c r="U601" i="6"/>
  <c r="V601" i="6" s="1"/>
  <c r="U602" i="6"/>
  <c r="V602" i="6" s="1"/>
  <c r="U603" i="6"/>
  <c r="V603" i="6" s="1"/>
  <c r="U604" i="6"/>
  <c r="V604" i="6" s="1"/>
  <c r="U605" i="6"/>
  <c r="V605" i="6" s="1"/>
  <c r="U606" i="6"/>
  <c r="V606" i="6" s="1"/>
  <c r="U607" i="6"/>
  <c r="V607" i="6" s="1"/>
  <c r="U608" i="6"/>
  <c r="V608" i="6" s="1"/>
  <c r="U609" i="6"/>
  <c r="V609" i="6" s="1"/>
  <c r="U610" i="6"/>
  <c r="V610" i="6" s="1"/>
  <c r="U611" i="6"/>
  <c r="V611" i="6" s="1"/>
  <c r="S470" i="6" l="1"/>
  <c r="S413" i="6" l="1"/>
  <c r="T413" i="6" s="1"/>
  <c r="T453" i="6" l="1"/>
  <c r="S453" i="6"/>
  <c r="U468" i="6" l="1"/>
  <c r="S468" i="6"/>
  <c r="S467" i="6"/>
  <c r="S466" i="6"/>
  <c r="S465" i="6" l="1"/>
  <c r="S464" i="6"/>
  <c r="S463" i="6"/>
  <c r="S462" i="6"/>
  <c r="S461" i="6"/>
  <c r="S460" i="6"/>
  <c r="S458" i="6"/>
  <c r="S454" i="6"/>
  <c r="T417" i="6" l="1"/>
  <c r="T391" i="6"/>
  <c r="S391" i="6"/>
  <c r="S452" i="6" l="1"/>
  <c r="S451" i="6"/>
  <c r="S450" i="6"/>
  <c r="S449" i="6"/>
  <c r="S448" i="6"/>
  <c r="S447" i="6"/>
  <c r="S446" i="6"/>
  <c r="T445" i="6"/>
  <c r="S445" i="6"/>
  <c r="S444" i="6"/>
  <c r="S443" i="6"/>
  <c r="S442" i="6"/>
  <c r="S441" i="6"/>
  <c r="S440" i="6"/>
  <c r="S439" i="6"/>
  <c r="AB1020" i="4" l="1"/>
  <c r="Z1020" i="4"/>
  <c r="T1021" i="4"/>
  <c r="AB1021" i="4" s="1"/>
  <c r="T835" i="4"/>
  <c r="AC1020" i="4" l="1"/>
  <c r="Z1021" i="4"/>
  <c r="AC1021" i="4" s="1"/>
  <c r="S437" i="6"/>
  <c r="S436" i="6"/>
  <c r="S434" i="6"/>
  <c r="S433" i="6"/>
  <c r="S432" i="6"/>
  <c r="S430" i="6"/>
  <c r="S427" i="6"/>
  <c r="S426" i="6"/>
  <c r="T1049" i="4" l="1"/>
  <c r="AB1049" i="4" s="1"/>
  <c r="AB1040" i="4"/>
  <c r="AB1041" i="4"/>
  <c r="AB1042" i="4"/>
  <c r="AB1043" i="4"/>
  <c r="AB1046" i="4"/>
  <c r="AB1047" i="4"/>
  <c r="AB1050" i="4"/>
  <c r="AB1051" i="4"/>
  <c r="AB1052" i="4"/>
  <c r="AB1053" i="4"/>
  <c r="AB1054" i="4"/>
  <c r="AB1055" i="4"/>
  <c r="AB1056" i="4"/>
  <c r="AB1057" i="4"/>
  <c r="AB1058" i="4"/>
  <c r="AB1092" i="4"/>
  <c r="AB1093" i="4"/>
  <c r="AB1094" i="4"/>
  <c r="AB1095" i="4"/>
  <c r="AB1096" i="4"/>
  <c r="AB1097" i="4"/>
  <c r="AB1098" i="4"/>
  <c r="AB1099" i="4"/>
  <c r="AB1100" i="4"/>
  <c r="AB1101" i="4"/>
  <c r="AB1102" i="4"/>
  <c r="AB1103" i="4"/>
  <c r="AB1104" i="4"/>
  <c r="AB1105" i="4"/>
  <c r="AB1106" i="4"/>
  <c r="AB1107" i="4"/>
  <c r="AB1108" i="4"/>
  <c r="AB1109" i="4"/>
  <c r="AB1110" i="4"/>
  <c r="AB1111" i="4"/>
  <c r="AB1112" i="4"/>
  <c r="AB1113" i="4"/>
  <c r="AB1114" i="4"/>
  <c r="AB1115" i="4"/>
  <c r="AB1116" i="4"/>
  <c r="AB1117" i="4"/>
  <c r="AB1118" i="4"/>
  <c r="AB1119" i="4"/>
  <c r="AB1120" i="4"/>
  <c r="AB1121" i="4"/>
  <c r="AB1122" i="4"/>
  <c r="AB1123" i="4"/>
  <c r="AB1124" i="4"/>
  <c r="AB1125" i="4"/>
  <c r="AB1126" i="4"/>
  <c r="AB1127" i="4"/>
  <c r="AB1128" i="4"/>
  <c r="AB1129" i="4"/>
  <c r="AB1130" i="4"/>
  <c r="AB1131" i="4"/>
  <c r="AB1132" i="4"/>
  <c r="AB1133" i="4"/>
  <c r="AB1134" i="4"/>
  <c r="AB1135" i="4"/>
  <c r="AB1136" i="4"/>
  <c r="AB1137" i="4"/>
  <c r="AB1138" i="4"/>
  <c r="AB1139" i="4"/>
  <c r="AB1140" i="4"/>
  <c r="AB1141" i="4"/>
  <c r="AB1142" i="4"/>
  <c r="AB1143" i="4"/>
  <c r="AB1144" i="4"/>
  <c r="AB1145" i="4"/>
  <c r="AB1146" i="4"/>
  <c r="AB1147" i="4"/>
  <c r="AB1148" i="4"/>
  <c r="AB1149" i="4"/>
  <c r="AB1150" i="4"/>
  <c r="AB1151" i="4"/>
  <c r="AB1152" i="4"/>
  <c r="AB1153" i="4"/>
  <c r="AB1154" i="4"/>
  <c r="AB1155" i="4"/>
  <c r="AB1156" i="4"/>
  <c r="AB1157" i="4"/>
  <c r="AB1158" i="4"/>
  <c r="AB1159" i="4"/>
  <c r="AB1160" i="4"/>
  <c r="AB1161" i="4"/>
  <c r="AB1162" i="4"/>
  <c r="AB1163" i="4"/>
  <c r="AB1164" i="4"/>
  <c r="AB1165" i="4"/>
  <c r="AB1166" i="4"/>
  <c r="AB1167" i="4"/>
  <c r="AB1168" i="4"/>
  <c r="AB1169" i="4"/>
  <c r="AB1170" i="4"/>
  <c r="AB1171" i="4"/>
  <c r="AB1172" i="4"/>
  <c r="AB1173" i="4"/>
  <c r="AB1174" i="4"/>
  <c r="AB1175" i="4"/>
  <c r="AB1176" i="4"/>
  <c r="AB1177" i="4"/>
  <c r="AB1178" i="4"/>
  <c r="AB1179" i="4"/>
  <c r="AB1180" i="4"/>
  <c r="AB1181" i="4"/>
  <c r="AB1182" i="4"/>
  <c r="AB1183" i="4"/>
  <c r="AB1184" i="4"/>
  <c r="AB1185" i="4"/>
  <c r="AB1186" i="4"/>
  <c r="AB1187" i="4"/>
  <c r="AB1188" i="4"/>
  <c r="AB1189" i="4"/>
  <c r="AB1190" i="4"/>
  <c r="AB1191" i="4"/>
  <c r="AB1192" i="4"/>
  <c r="AB1193" i="4"/>
  <c r="AB1194" i="4"/>
  <c r="AB1195" i="4"/>
  <c r="AB1196" i="4"/>
  <c r="AB1197" i="4"/>
  <c r="AB1198" i="4"/>
  <c r="AB1199" i="4"/>
  <c r="AB1200" i="4"/>
  <c r="AB1201" i="4"/>
  <c r="AB1202" i="4"/>
  <c r="AB1203" i="4"/>
  <c r="AB1204" i="4"/>
  <c r="AB1205" i="4"/>
  <c r="AB1206" i="4"/>
  <c r="AB1207" i="4"/>
  <c r="AB1208" i="4"/>
  <c r="AB1209" i="4"/>
  <c r="AB1210" i="4"/>
  <c r="AB1211" i="4"/>
  <c r="AB1212" i="4"/>
  <c r="AB1213" i="4"/>
  <c r="AB1214" i="4"/>
  <c r="AB1215" i="4"/>
  <c r="AB1216" i="4"/>
  <c r="AB1217" i="4"/>
  <c r="AB1218" i="4"/>
  <c r="AB1219" i="4"/>
  <c r="AB1220" i="4"/>
  <c r="AB1221" i="4"/>
  <c r="AB1222" i="4"/>
  <c r="AB1223" i="4"/>
  <c r="AB1224" i="4"/>
  <c r="AB1225" i="4"/>
  <c r="AB1226" i="4"/>
  <c r="AB1227" i="4"/>
  <c r="AB1228" i="4"/>
  <c r="AB1229" i="4"/>
  <c r="AB1230" i="4"/>
  <c r="AB1231" i="4"/>
  <c r="AB1232" i="4"/>
  <c r="AB1233" i="4"/>
  <c r="AB1234" i="4"/>
  <c r="AB1235" i="4"/>
  <c r="AB1236" i="4"/>
  <c r="AB1237" i="4"/>
  <c r="AB1238" i="4"/>
  <c r="AB1239" i="4"/>
  <c r="AB1240" i="4"/>
  <c r="AB1241" i="4"/>
  <c r="AB1242" i="4"/>
  <c r="AB1243" i="4"/>
  <c r="AB1244" i="4"/>
  <c r="AB1245" i="4"/>
  <c r="AB1246" i="4"/>
  <c r="AB1247" i="4"/>
  <c r="AB1248" i="4"/>
  <c r="AB1249" i="4"/>
  <c r="AB1250" i="4"/>
  <c r="AB1251" i="4"/>
  <c r="AB1252" i="4"/>
  <c r="AB1253" i="4"/>
  <c r="AB1254" i="4"/>
  <c r="AB1255" i="4"/>
  <c r="AB1256" i="4"/>
  <c r="AB1257" i="4"/>
  <c r="AB1258" i="4"/>
  <c r="AB1259" i="4"/>
  <c r="AB1260" i="4"/>
  <c r="AB1261" i="4"/>
  <c r="AB1262" i="4"/>
  <c r="AB1263" i="4"/>
  <c r="AB1264" i="4"/>
  <c r="AB1265" i="4"/>
  <c r="AB1266" i="4"/>
  <c r="AB1267" i="4"/>
  <c r="AB1268" i="4"/>
  <c r="AB1269" i="4"/>
  <c r="AB1270" i="4"/>
  <c r="AB1271" i="4"/>
  <c r="AB1272" i="4"/>
  <c r="AB1273" i="4"/>
  <c r="AB1274" i="4"/>
  <c r="AB1275" i="4"/>
  <c r="AB1276" i="4"/>
  <c r="AB1277" i="4"/>
  <c r="AB1278" i="4"/>
  <c r="AB1279" i="4"/>
  <c r="AB1280" i="4"/>
  <c r="AB1281" i="4"/>
  <c r="AB1282" i="4"/>
  <c r="AB1283" i="4"/>
  <c r="AB1284" i="4"/>
  <c r="AB1285" i="4"/>
  <c r="AB1286" i="4"/>
  <c r="AB1287" i="4"/>
  <c r="AB1288" i="4"/>
  <c r="AB1289" i="4"/>
  <c r="AB1290" i="4"/>
  <c r="AB1291" i="4"/>
  <c r="AB1292" i="4"/>
  <c r="AB1293" i="4"/>
  <c r="AB1294" i="4"/>
  <c r="AB1295" i="4"/>
  <c r="AB1296" i="4"/>
  <c r="AB1297" i="4"/>
  <c r="AB1298" i="4"/>
  <c r="AB1299" i="4"/>
  <c r="AB1300" i="4"/>
  <c r="AB1301" i="4"/>
  <c r="AB1302" i="4"/>
  <c r="AB1303" i="4"/>
  <c r="AB1304" i="4"/>
  <c r="AB1305" i="4"/>
  <c r="AB1306" i="4"/>
  <c r="AB1307" i="4"/>
  <c r="AB1308" i="4"/>
  <c r="AB1309" i="4"/>
  <c r="AB1310" i="4"/>
  <c r="AB1311" i="4"/>
  <c r="AB1312" i="4"/>
  <c r="AB1313" i="4"/>
  <c r="AB1314" i="4"/>
  <c r="AB1315" i="4"/>
  <c r="AB1316" i="4"/>
  <c r="AB1317" i="4"/>
  <c r="AB1318" i="4"/>
  <c r="AB1319" i="4"/>
  <c r="AB1320" i="4"/>
  <c r="AB1321" i="4"/>
  <c r="AB1322" i="4"/>
  <c r="AB1323" i="4"/>
  <c r="AB1324" i="4"/>
  <c r="AB1325" i="4"/>
  <c r="AB1326" i="4"/>
  <c r="AB1327" i="4"/>
  <c r="AB1328" i="4"/>
  <c r="AB1329" i="4"/>
  <c r="AB1330" i="4"/>
  <c r="AB1331" i="4"/>
  <c r="AB1332" i="4"/>
  <c r="Z1040" i="4"/>
  <c r="Z1041" i="4"/>
  <c r="Z1042" i="4"/>
  <c r="Z1043" i="4"/>
  <c r="Z1046" i="4"/>
  <c r="Z1047" i="4"/>
  <c r="Z1050" i="4"/>
  <c r="Z1051" i="4"/>
  <c r="Z1052" i="4"/>
  <c r="Z1053" i="4"/>
  <c r="Z1054" i="4"/>
  <c r="Z1055" i="4"/>
  <c r="Z1056" i="4"/>
  <c r="Z1057" i="4"/>
  <c r="Z1058" i="4"/>
  <c r="Z1092" i="4"/>
  <c r="Z1093" i="4"/>
  <c r="Z1095" i="4"/>
  <c r="Z1096" i="4"/>
  <c r="Z1098" i="4"/>
  <c r="Z1099" i="4"/>
  <c r="Z1100" i="4"/>
  <c r="Z1101" i="4"/>
  <c r="Z1102" i="4"/>
  <c r="Z1103" i="4"/>
  <c r="Z1105" i="4"/>
  <c r="Z1106" i="4"/>
  <c r="Z1107" i="4"/>
  <c r="Z1108" i="4"/>
  <c r="Z1111" i="4"/>
  <c r="Z1112" i="4"/>
  <c r="Z1113" i="4"/>
  <c r="Z1114" i="4"/>
  <c r="Z1115" i="4"/>
  <c r="Z1116" i="4"/>
  <c r="Z1117" i="4"/>
  <c r="Z1118" i="4"/>
  <c r="Z1119" i="4"/>
  <c r="Z1120" i="4"/>
  <c r="Z1121" i="4"/>
  <c r="Z1122" i="4"/>
  <c r="Z1124" i="4"/>
  <c r="Z1125" i="4"/>
  <c r="Z1126" i="4"/>
  <c r="Z1127" i="4"/>
  <c r="Z1128" i="4"/>
  <c r="Z1129" i="4"/>
  <c r="Z1130" i="4"/>
  <c r="Z1131" i="4"/>
  <c r="Z1132" i="4"/>
  <c r="Z1133" i="4"/>
  <c r="Z1134" i="4"/>
  <c r="Z1135" i="4"/>
  <c r="Z1136" i="4"/>
  <c r="Z1137" i="4"/>
  <c r="Z1138" i="4"/>
  <c r="Z1139" i="4"/>
  <c r="Z1140" i="4"/>
  <c r="Z1141" i="4"/>
  <c r="Z1142" i="4"/>
  <c r="Z1143" i="4"/>
  <c r="Z1144" i="4"/>
  <c r="Z1145" i="4"/>
  <c r="Z1146" i="4"/>
  <c r="Z1147" i="4"/>
  <c r="Z1148" i="4"/>
  <c r="Z1149" i="4"/>
  <c r="Z1150" i="4"/>
  <c r="Z1151" i="4"/>
  <c r="Z1152" i="4"/>
  <c r="Z1153" i="4"/>
  <c r="Z1154" i="4"/>
  <c r="Z1155" i="4"/>
  <c r="Z1156" i="4"/>
  <c r="Z1157" i="4"/>
  <c r="Z1158" i="4"/>
  <c r="Z1159" i="4"/>
  <c r="Z1160" i="4"/>
  <c r="Z1161" i="4"/>
  <c r="Z1162" i="4"/>
  <c r="Z1163" i="4"/>
  <c r="Z1164" i="4"/>
  <c r="Z1165" i="4"/>
  <c r="Z1167" i="4"/>
  <c r="Z1168" i="4"/>
  <c r="Z1169" i="4"/>
  <c r="Z1170" i="4"/>
  <c r="Z1187" i="4"/>
  <c r="Z1193" i="4"/>
  <c r="Z1198" i="4"/>
  <c r="Z1199" i="4"/>
  <c r="Z1205" i="4"/>
  <c r="Z1206" i="4"/>
  <c r="Z1207" i="4"/>
  <c r="Z1208" i="4"/>
  <c r="Z1209" i="4"/>
  <c r="Z1210" i="4"/>
  <c r="Z1211" i="4"/>
  <c r="Z1212" i="4"/>
  <c r="Z1213" i="4"/>
  <c r="Z1214" i="4"/>
  <c r="Z1215" i="4"/>
  <c r="Z1216" i="4"/>
  <c r="Z1217" i="4"/>
  <c r="Z1218" i="4"/>
  <c r="Z1219" i="4"/>
  <c r="Z1220" i="4"/>
  <c r="Z1221" i="4"/>
  <c r="Z1222" i="4"/>
  <c r="Z1223" i="4"/>
  <c r="Z1224" i="4"/>
  <c r="Z1225" i="4"/>
  <c r="Z1226" i="4"/>
  <c r="Z1227" i="4"/>
  <c r="Z1228" i="4"/>
  <c r="Z1229" i="4"/>
  <c r="Z1230" i="4"/>
  <c r="Z1231" i="4"/>
  <c r="Z1232" i="4"/>
  <c r="Z1233" i="4"/>
  <c r="Z1234" i="4"/>
  <c r="Z1235" i="4"/>
  <c r="Z1236" i="4"/>
  <c r="Z1237" i="4"/>
  <c r="Z1238" i="4"/>
  <c r="Z1239" i="4"/>
  <c r="Z1240" i="4"/>
  <c r="Z1241" i="4"/>
  <c r="Z1242" i="4"/>
  <c r="Z1243" i="4"/>
  <c r="Z1244" i="4"/>
  <c r="Z1245" i="4"/>
  <c r="Z1246" i="4"/>
  <c r="Z1247" i="4"/>
  <c r="Z1248" i="4"/>
  <c r="Z1249" i="4"/>
  <c r="Z1250" i="4"/>
  <c r="Z1251" i="4"/>
  <c r="Z1252" i="4"/>
  <c r="Z1253" i="4"/>
  <c r="Z1254" i="4"/>
  <c r="Z1255" i="4"/>
  <c r="Z1256" i="4"/>
  <c r="Z1257" i="4"/>
  <c r="Z1258" i="4"/>
  <c r="Z1259" i="4"/>
  <c r="Z1260" i="4"/>
  <c r="Z1261" i="4"/>
  <c r="Z1262" i="4"/>
  <c r="Z1263" i="4"/>
  <c r="Z1264" i="4"/>
  <c r="Z1265" i="4"/>
  <c r="Z1266" i="4"/>
  <c r="Z1267" i="4"/>
  <c r="Z1268" i="4"/>
  <c r="Z1269" i="4"/>
  <c r="Z1270" i="4"/>
  <c r="Z1271" i="4"/>
  <c r="Z1272" i="4"/>
  <c r="Z1273" i="4"/>
  <c r="Z1274" i="4"/>
  <c r="Z1275" i="4"/>
  <c r="Z1276" i="4"/>
  <c r="Z1277" i="4"/>
  <c r="Z1278" i="4"/>
  <c r="Z1279" i="4"/>
  <c r="Z1280" i="4"/>
  <c r="Z1281" i="4"/>
  <c r="Z1282" i="4"/>
  <c r="Z1283" i="4"/>
  <c r="Z1284" i="4"/>
  <c r="Z1285" i="4"/>
  <c r="Z1286" i="4"/>
  <c r="Z1287" i="4"/>
  <c r="Z1288" i="4"/>
  <c r="Z1289" i="4"/>
  <c r="Z1290" i="4"/>
  <c r="Z1291" i="4"/>
  <c r="Z1292" i="4"/>
  <c r="Z1293" i="4"/>
  <c r="Z1294" i="4"/>
  <c r="Z1295" i="4"/>
  <c r="Z1296" i="4"/>
  <c r="Z1297" i="4"/>
  <c r="Z1298" i="4"/>
  <c r="Z1299" i="4"/>
  <c r="Z1300" i="4"/>
  <c r="Z1301" i="4"/>
  <c r="Z1302" i="4"/>
  <c r="Z1303" i="4"/>
  <c r="Z1304" i="4"/>
  <c r="Z1305" i="4"/>
  <c r="Z1306" i="4"/>
  <c r="Z1307" i="4"/>
  <c r="Z1308" i="4"/>
  <c r="Z1309" i="4"/>
  <c r="Z1310" i="4"/>
  <c r="Z1311" i="4"/>
  <c r="Z1312" i="4"/>
  <c r="Z1313" i="4"/>
  <c r="Z1314" i="4"/>
  <c r="Z1315" i="4"/>
  <c r="Z1316" i="4"/>
  <c r="Z1317" i="4"/>
  <c r="Z1318" i="4"/>
  <c r="Z1319" i="4"/>
  <c r="Z1320" i="4"/>
  <c r="Z1321" i="4"/>
  <c r="Z1322" i="4"/>
  <c r="Z1323" i="4"/>
  <c r="Z1324" i="4"/>
  <c r="Z1325" i="4"/>
  <c r="Z1326" i="4"/>
  <c r="Z1327" i="4"/>
  <c r="Z1328" i="4"/>
  <c r="Z1329" i="4"/>
  <c r="Z1330" i="4"/>
  <c r="Z1331" i="4"/>
  <c r="Z1332" i="4"/>
  <c r="T1048" i="4"/>
  <c r="Z1048" i="4" s="1"/>
  <c r="T1045" i="4"/>
  <c r="Z1045" i="4" s="1"/>
  <c r="T1044" i="4"/>
  <c r="Z1044" i="4" s="1"/>
  <c r="T1036" i="4"/>
  <c r="AB1036" i="4" s="1"/>
  <c r="T1034" i="4"/>
  <c r="T1033" i="4"/>
  <c r="AB1033" i="4" s="1"/>
  <c r="T1032" i="4"/>
  <c r="T1029" i="4"/>
  <c r="AB1029" i="4" s="1"/>
  <c r="T1028" i="4"/>
  <c r="T1027" i="4"/>
  <c r="Z1027" i="4" s="1"/>
  <c r="T1026" i="4"/>
  <c r="T1022" i="4"/>
  <c r="AB1022" i="4" s="1"/>
  <c r="T1019" i="4"/>
  <c r="AB1019" i="4" s="1"/>
  <c r="T1018" i="4"/>
  <c r="AB1018" i="4" s="1"/>
  <c r="T1017" i="4"/>
  <c r="Z1017" i="4" s="1"/>
  <c r="T1015" i="4"/>
  <c r="Z1015" i="4" s="1"/>
  <c r="T1014" i="4"/>
  <c r="AB1014" i="4" s="1"/>
  <c r="T1013" i="4"/>
  <c r="Z1013" i="4" s="1"/>
  <c r="T1012" i="4"/>
  <c r="AB1012" i="4" s="1"/>
  <c r="T1011" i="4"/>
  <c r="AB1011" i="4" s="1"/>
  <c r="T1010" i="4"/>
  <c r="AB1010" i="4" s="1"/>
  <c r="T1007" i="4"/>
  <c r="AB1003" i="4"/>
  <c r="AB1008" i="4"/>
  <c r="AB1009" i="4"/>
  <c r="AB1016" i="4"/>
  <c r="AB1023" i="4"/>
  <c r="AB1024" i="4"/>
  <c r="AB1025" i="4"/>
  <c r="AB1027" i="4"/>
  <c r="AC1027" i="4" s="1"/>
  <c r="AB1030" i="4"/>
  <c r="AB1031" i="4"/>
  <c r="AB1035" i="4"/>
  <c r="AB1037" i="4"/>
  <c r="AB1038" i="4"/>
  <c r="AB1039" i="4"/>
  <c r="Z1003" i="4"/>
  <c r="Z1008" i="4"/>
  <c r="Z1009" i="4"/>
  <c r="Z1016" i="4"/>
  <c r="Z1023" i="4"/>
  <c r="Z1024" i="4"/>
  <c r="Z1025" i="4"/>
  <c r="Z1030" i="4"/>
  <c r="Z1031" i="4"/>
  <c r="Z1033" i="4"/>
  <c r="Z1035" i="4"/>
  <c r="Z1037" i="4"/>
  <c r="Z1038" i="4"/>
  <c r="Z1039" i="4"/>
  <c r="T1006" i="4"/>
  <c r="Z1006" i="4" s="1"/>
  <c r="T1005" i="4"/>
  <c r="T1004" i="4"/>
  <c r="AB1004" i="4" s="1"/>
  <c r="T1002" i="4"/>
  <c r="AB1002" i="4" s="1"/>
  <c r="T1001" i="4"/>
  <c r="AB1001" i="4" s="1"/>
  <c r="T1000" i="4"/>
  <c r="T998" i="4"/>
  <c r="T997" i="4"/>
  <c r="T996" i="4"/>
  <c r="T995" i="4"/>
  <c r="T992" i="4"/>
  <c r="T991" i="4"/>
  <c r="T989" i="4"/>
  <c r="T988" i="4"/>
  <c r="T987" i="4"/>
  <c r="T986" i="4"/>
  <c r="T985" i="4"/>
  <c r="T984" i="4"/>
  <c r="T982" i="4"/>
  <c r="T981" i="4"/>
  <c r="T980" i="4"/>
  <c r="T979" i="4"/>
  <c r="T978" i="4"/>
  <c r="T977" i="4"/>
  <c r="Z1049" i="4" l="1"/>
  <c r="AC1092" i="4"/>
  <c r="AC1003" i="4"/>
  <c r="AC1023" i="4"/>
  <c r="AC1035" i="4"/>
  <c r="AC1024" i="4"/>
  <c r="Z1014" i="4"/>
  <c r="AC1014" i="4" s="1"/>
  <c r="AC1330" i="4"/>
  <c r="AC1326" i="4"/>
  <c r="AC1322" i="4"/>
  <c r="AC1318" i="4"/>
  <c r="AC1314" i="4"/>
  <c r="AC1310" i="4"/>
  <c r="AC1306" i="4"/>
  <c r="AC1302" i="4"/>
  <c r="AC1298" i="4"/>
  <c r="AC1294" i="4"/>
  <c r="AC1290" i="4"/>
  <c r="AC1286" i="4"/>
  <c r="AC1282" i="4"/>
  <c r="AC1278" i="4"/>
  <c r="AC1274" i="4"/>
  <c r="AC1270" i="4"/>
  <c r="AC1266" i="4"/>
  <c r="AC1262" i="4"/>
  <c r="AC1258" i="4"/>
  <c r="AC1254" i="4"/>
  <c r="AC1250" i="4"/>
  <c r="AC1246" i="4"/>
  <c r="AC1242" i="4"/>
  <c r="AC1238" i="4"/>
  <c r="AC1234" i="4"/>
  <c r="AC1230" i="4"/>
  <c r="AC1226" i="4"/>
  <c r="AC1222" i="4"/>
  <c r="AC1218" i="4"/>
  <c r="AC1214" i="4"/>
  <c r="AC1210" i="4"/>
  <c r="AC1206" i="4"/>
  <c r="AC1202" i="4"/>
  <c r="AC1198" i="4"/>
  <c r="AC1194" i="4"/>
  <c r="AC1190" i="4"/>
  <c r="AC1186" i="4"/>
  <c r="AC1182" i="4"/>
  <c r="AC1178" i="4"/>
  <c r="AC1174" i="4"/>
  <c r="AC1170" i="4"/>
  <c r="AC1166" i="4"/>
  <c r="AC1162" i="4"/>
  <c r="AC1158" i="4"/>
  <c r="AC1154" i="4"/>
  <c r="AC1150" i="4"/>
  <c r="AC1146" i="4"/>
  <c r="AC1142" i="4"/>
  <c r="AC1138" i="4"/>
  <c r="AC1134" i="4"/>
  <c r="AC1130" i="4"/>
  <c r="AC1126" i="4"/>
  <c r="AC1122" i="4"/>
  <c r="AC1118" i="4"/>
  <c r="AC1114" i="4"/>
  <c r="AC1110" i="4"/>
  <c r="AC1106" i="4"/>
  <c r="AC1102" i="4"/>
  <c r="AC1098" i="4"/>
  <c r="AC1094" i="4"/>
  <c r="AC1055" i="4"/>
  <c r="AC1051" i="4"/>
  <c r="Z1001" i="4"/>
  <c r="Z1010" i="4"/>
  <c r="AC1010" i="4" s="1"/>
  <c r="AC1169" i="4"/>
  <c r="AC1153" i="4"/>
  <c r="AC1137" i="4"/>
  <c r="Z1032" i="4"/>
  <c r="AB1032" i="4"/>
  <c r="Z1005" i="4"/>
  <c r="AB1005" i="4"/>
  <c r="AC1039" i="4"/>
  <c r="Z1026" i="4"/>
  <c r="AB1026" i="4"/>
  <c r="AC1329" i="4"/>
  <c r="AC1325" i="4"/>
  <c r="AC1321" i="4"/>
  <c r="AC1317" i="4"/>
  <c r="AC1313" i="4"/>
  <c r="AC1309" i="4"/>
  <c r="AC1305" i="4"/>
  <c r="AC1301" i="4"/>
  <c r="AC1297" i="4"/>
  <c r="AC1293" i="4"/>
  <c r="AC1289" i="4"/>
  <c r="AC1285" i="4"/>
  <c r="AC1281" i="4"/>
  <c r="AC1277" i="4"/>
  <c r="AC1273" i="4"/>
  <c r="AC1269" i="4"/>
  <c r="AC1265" i="4"/>
  <c r="AC1261" i="4"/>
  <c r="AC1257" i="4"/>
  <c r="AC1253" i="4"/>
  <c r="AC1249" i="4"/>
  <c r="AC1245" i="4"/>
  <c r="AC1237" i="4"/>
  <c r="AC1229" i="4"/>
  <c r="AC1221" i="4"/>
  <c r="AC1213" i="4"/>
  <c r="AC1205" i="4"/>
  <c r="AC1197" i="4"/>
  <c r="AC1185" i="4"/>
  <c r="AC1177" i="4"/>
  <c r="AC1161" i="4"/>
  <c r="AC1145" i="4"/>
  <c r="AC1133" i="4"/>
  <c r="AC1129" i="4"/>
  <c r="AC1125" i="4"/>
  <c r="AC1121" i="4"/>
  <c r="AC1113" i="4"/>
  <c r="AC1109" i="4"/>
  <c r="AC1105" i="4"/>
  <c r="AC1101" i="4"/>
  <c r="AC1097" i="4"/>
  <c r="AC1093" i="4"/>
  <c r="AC1058" i="4"/>
  <c r="AC1054" i="4"/>
  <c r="AC1050" i="4"/>
  <c r="AC1241" i="4"/>
  <c r="AC1233" i="4"/>
  <c r="AC1225" i="4"/>
  <c r="AC1217" i="4"/>
  <c r="AC1209" i="4"/>
  <c r="AC1201" i="4"/>
  <c r="AC1193" i="4"/>
  <c r="AC1189" i="4"/>
  <c r="AC1181" i="4"/>
  <c r="AC1173" i="4"/>
  <c r="AC1165" i="4"/>
  <c r="AC1157" i="4"/>
  <c r="AC1149" i="4"/>
  <c r="AC1141" i="4"/>
  <c r="AC1117" i="4"/>
  <c r="AC1001" i="4"/>
  <c r="AC1009" i="4"/>
  <c r="AC1331" i="4"/>
  <c r="AC1327" i="4"/>
  <c r="AC1323" i="4"/>
  <c r="AC1319" i="4"/>
  <c r="AC1315" i="4"/>
  <c r="AC1311" i="4"/>
  <c r="AC1307" i="4"/>
  <c r="AC1303" i="4"/>
  <c r="AC1299" i="4"/>
  <c r="AC1295" i="4"/>
  <c r="AC1291" i="4"/>
  <c r="AC1287" i="4"/>
  <c r="AC1283" i="4"/>
  <c r="AC1279" i="4"/>
  <c r="AC1275" i="4"/>
  <c r="AC1271" i="4"/>
  <c r="AC1267" i="4"/>
  <c r="AC1263" i="4"/>
  <c r="AC1259" i="4"/>
  <c r="AC1255" i="4"/>
  <c r="AC1251" i="4"/>
  <c r="AC1247" i="4"/>
  <c r="AC1243" i="4"/>
  <c r="AC1239" i="4"/>
  <c r="AC1235" i="4"/>
  <c r="AC1231" i="4"/>
  <c r="AC1227" i="4"/>
  <c r="AC1223" i="4"/>
  <c r="AC1219" i="4"/>
  <c r="AC1215" i="4"/>
  <c r="AC1211" i="4"/>
  <c r="AC1207" i="4"/>
  <c r="AC1203" i="4"/>
  <c r="AC1199" i="4"/>
  <c r="AC1195" i="4"/>
  <c r="AC1191" i="4"/>
  <c r="AC1187" i="4"/>
  <c r="AC1183" i="4"/>
  <c r="AC1179" i="4"/>
  <c r="AC1175" i="4"/>
  <c r="AC1171" i="4"/>
  <c r="AC1167" i="4"/>
  <c r="AC1163" i="4"/>
  <c r="AC1159" i="4"/>
  <c r="AC1155" i="4"/>
  <c r="AC1151" i="4"/>
  <c r="AC1147" i="4"/>
  <c r="AC1143" i="4"/>
  <c r="AC1139" i="4"/>
  <c r="AC1135" i="4"/>
  <c r="AC1131" i="4"/>
  <c r="AC1127" i="4"/>
  <c r="AC1123" i="4"/>
  <c r="AC1119" i="4"/>
  <c r="AC1115" i="4"/>
  <c r="AC1111" i="4"/>
  <c r="AC1107" i="4"/>
  <c r="AC1103" i="4"/>
  <c r="AC1099" i="4"/>
  <c r="AC1095" i="4"/>
  <c r="AC1056" i="4"/>
  <c r="AC1052" i="4"/>
  <c r="AC1047" i="4"/>
  <c r="AC1041" i="4"/>
  <c r="AB1015" i="4"/>
  <c r="AC1015" i="4" s="1"/>
  <c r="AC1038" i="4"/>
  <c r="Z1022" i="4"/>
  <c r="AC1022" i="4" s="1"/>
  <c r="Z1012" i="4"/>
  <c r="AC1012" i="4" s="1"/>
  <c r="Z1004" i="4"/>
  <c r="AC1004" i="4" s="1"/>
  <c r="AC1037" i="4"/>
  <c r="AC1031" i="4"/>
  <c r="AC1025" i="4"/>
  <c r="AB1044" i="4"/>
  <c r="AC1044" i="4" s="1"/>
  <c r="AC1040" i="4"/>
  <c r="AC1016" i="4"/>
  <c r="Z1029" i="4"/>
  <c r="AC1029" i="4" s="1"/>
  <c r="AC1030" i="4"/>
  <c r="AB1017" i="4"/>
  <c r="AC1017" i="4" s="1"/>
  <c r="AC1332" i="4"/>
  <c r="AC1328" i="4"/>
  <c r="AC1324" i="4"/>
  <c r="AC1320" i="4"/>
  <c r="AC1316" i="4"/>
  <c r="AC1312" i="4"/>
  <c r="AC1308" i="4"/>
  <c r="AC1304" i="4"/>
  <c r="AC1300" i="4"/>
  <c r="AC1296" i="4"/>
  <c r="AC1292" i="4"/>
  <c r="AC1288" i="4"/>
  <c r="AC1284" i="4"/>
  <c r="AC1280" i="4"/>
  <c r="AC1276" i="4"/>
  <c r="AC1272" i="4"/>
  <c r="AC1268" i="4"/>
  <c r="AC1264" i="4"/>
  <c r="AC1260" i="4"/>
  <c r="AC1256" i="4"/>
  <c r="AC1252" i="4"/>
  <c r="AC1248" i="4"/>
  <c r="AC1244" i="4"/>
  <c r="AC1240" i="4"/>
  <c r="AC1236" i="4"/>
  <c r="AC1232" i="4"/>
  <c r="AC1228" i="4"/>
  <c r="AC1224" i="4"/>
  <c r="AC1220" i="4"/>
  <c r="AC1216" i="4"/>
  <c r="AC1212" i="4"/>
  <c r="AC1208" i="4"/>
  <c r="AC1204" i="4"/>
  <c r="AC1200" i="4"/>
  <c r="AC1196" i="4"/>
  <c r="AC1192" i="4"/>
  <c r="AC1188" i="4"/>
  <c r="AC1184" i="4"/>
  <c r="AC1180" i="4"/>
  <c r="AC1176" i="4"/>
  <c r="AC1172" i="4"/>
  <c r="AC1168" i="4"/>
  <c r="AC1164" i="4"/>
  <c r="AC1160" i="4"/>
  <c r="AC1156" i="4"/>
  <c r="AC1152" i="4"/>
  <c r="AC1148" i="4"/>
  <c r="AC1144" i="4"/>
  <c r="AC1140" i="4"/>
  <c r="AC1136" i="4"/>
  <c r="AC1132" i="4"/>
  <c r="AC1128" i="4"/>
  <c r="AC1124" i="4"/>
  <c r="AC1120" i="4"/>
  <c r="AC1116" i="4"/>
  <c r="AC1112" i="4"/>
  <c r="AC1108" i="4"/>
  <c r="AC1104" i="4"/>
  <c r="AC1100" i="4"/>
  <c r="AC1096" i="4"/>
  <c r="AC1057" i="4"/>
  <c r="AC1053" i="4"/>
  <c r="AC1043" i="4"/>
  <c r="AB1048" i="4"/>
  <c r="AC1048" i="4" s="1"/>
  <c r="AC1042" i="4"/>
  <c r="AC1008" i="4"/>
  <c r="AB1007" i="4"/>
  <c r="Z1007" i="4"/>
  <c r="AC1046" i="4"/>
  <c r="AB1028" i="4"/>
  <c r="Z1028" i="4"/>
  <c r="AB1034" i="4"/>
  <c r="Z1034" i="4"/>
  <c r="Z1002" i="4"/>
  <c r="AC1002" i="4" s="1"/>
  <c r="AC1033" i="4"/>
  <c r="AB1006" i="4"/>
  <c r="AC1006" i="4" s="1"/>
  <c r="AC1049" i="4"/>
  <c r="AB1045" i="4"/>
  <c r="AC1045" i="4" s="1"/>
  <c r="Z1036" i="4"/>
  <c r="AC1036" i="4" s="1"/>
  <c r="Z1019" i="4"/>
  <c r="AC1019" i="4" s="1"/>
  <c r="Z1018" i="4"/>
  <c r="AC1018" i="4" s="1"/>
  <c r="AB1013" i="4"/>
  <c r="AC1013" i="4" s="1"/>
  <c r="Z1011" i="4"/>
  <c r="AC1011" i="4" s="1"/>
  <c r="T976" i="4"/>
  <c r="T975" i="4"/>
  <c r="T974" i="4"/>
  <c r="T973" i="4"/>
  <c r="T972" i="4"/>
  <c r="T971" i="4"/>
  <c r="T970" i="4"/>
  <c r="T969" i="4"/>
  <c r="T968" i="4"/>
  <c r="Z968" i="4" s="1"/>
  <c r="T967" i="4"/>
  <c r="T966" i="4"/>
  <c r="T965" i="4"/>
  <c r="T963" i="4"/>
  <c r="T962" i="4"/>
  <c r="T961" i="4"/>
  <c r="T960" i="4"/>
  <c r="T959" i="4"/>
  <c r="T956" i="4"/>
  <c r="T955" i="4"/>
  <c r="T953" i="4"/>
  <c r="T951" i="4"/>
  <c r="T949" i="4"/>
  <c r="T948" i="4"/>
  <c r="T947" i="4"/>
  <c r="T946" i="4"/>
  <c r="T945" i="4"/>
  <c r="T944" i="4"/>
  <c r="T936" i="4"/>
  <c r="T935" i="4"/>
  <c r="T933" i="4"/>
  <c r="T932" i="4"/>
  <c r="T931" i="4"/>
  <c r="T929" i="4"/>
  <c r="T928" i="4"/>
  <c r="T927" i="4"/>
  <c r="T926" i="4"/>
  <c r="T925" i="4"/>
  <c r="T923" i="4"/>
  <c r="T922" i="4"/>
  <c r="T920" i="4"/>
  <c r="T919" i="4"/>
  <c r="T918" i="4"/>
  <c r="T916" i="4"/>
  <c r="T915" i="4"/>
  <c r="AC1026" i="4" l="1"/>
  <c r="AC1005" i="4"/>
  <c r="AC1032" i="4"/>
  <c r="AC1034" i="4"/>
  <c r="AC1028" i="4"/>
  <c r="AC1007" i="4"/>
  <c r="AB968" i="4"/>
  <c r="AC968" i="4" s="1"/>
  <c r="S365" i="6"/>
  <c r="T914" i="4" l="1"/>
  <c r="T913" i="4"/>
  <c r="T912" i="4" l="1"/>
  <c r="T911" i="4"/>
  <c r="T908" i="4"/>
  <c r="T906" i="4"/>
  <c r="T905" i="4"/>
  <c r="T904" i="4"/>
  <c r="T903" i="4"/>
  <c r="T902" i="4"/>
  <c r="T901" i="4"/>
  <c r="T900" i="4"/>
  <c r="T899" i="4"/>
  <c r="T898" i="4"/>
  <c r="T897" i="4"/>
  <c r="T896" i="4"/>
  <c r="T895" i="4"/>
  <c r="T894" i="4"/>
  <c r="T893" i="4"/>
  <c r="T892" i="4"/>
  <c r="T891" i="4"/>
  <c r="T890" i="4"/>
  <c r="T889" i="4"/>
  <c r="T888" i="4"/>
  <c r="T887" i="4"/>
  <c r="T886" i="4" l="1"/>
  <c r="AB886" i="4" s="1"/>
  <c r="T885" i="4"/>
  <c r="AB885" i="4" s="1"/>
  <c r="T884" i="4"/>
  <c r="AB884" i="4" s="1"/>
  <c r="T883" i="4"/>
  <c r="AB883" i="4" s="1"/>
  <c r="T882" i="4"/>
  <c r="AB882" i="4" s="1"/>
  <c r="T881" i="4"/>
  <c r="Z881" i="4" s="1"/>
  <c r="T880" i="4"/>
  <c r="Z880" i="4" s="1"/>
  <c r="T879" i="4"/>
  <c r="AB879" i="4" s="1"/>
  <c r="T878" i="4"/>
  <c r="Z878" i="4" s="1"/>
  <c r="T877" i="4"/>
  <c r="AB877" i="4" s="1"/>
  <c r="AB876" i="4"/>
  <c r="AB887" i="4"/>
  <c r="AB888" i="4"/>
  <c r="AB889" i="4"/>
  <c r="AB890" i="4"/>
  <c r="AB891" i="4"/>
  <c r="AB892" i="4"/>
  <c r="AB893" i="4"/>
  <c r="AB894" i="4"/>
  <c r="AB895" i="4"/>
  <c r="AB896" i="4"/>
  <c r="AB897" i="4"/>
  <c r="AB898" i="4"/>
  <c r="AB899" i="4"/>
  <c r="AB900" i="4"/>
  <c r="AB901" i="4"/>
  <c r="AB902" i="4"/>
  <c r="AB903" i="4"/>
  <c r="AB904" i="4"/>
  <c r="AB905" i="4"/>
  <c r="AB906" i="4"/>
  <c r="AB907" i="4"/>
  <c r="AB908" i="4"/>
  <c r="AB909" i="4"/>
  <c r="AB910" i="4"/>
  <c r="AB911" i="4"/>
  <c r="AB912" i="4"/>
  <c r="AB913" i="4"/>
  <c r="AB914" i="4"/>
  <c r="AB915" i="4"/>
  <c r="AB916" i="4"/>
  <c r="AB917" i="4"/>
  <c r="AB918" i="4"/>
  <c r="AB919" i="4"/>
  <c r="AB920" i="4"/>
  <c r="AB921" i="4"/>
  <c r="AB922" i="4"/>
  <c r="AB923" i="4"/>
  <c r="AB924" i="4"/>
  <c r="AB925" i="4"/>
  <c r="AB926" i="4"/>
  <c r="AB927" i="4"/>
  <c r="AB928" i="4"/>
  <c r="AB929" i="4"/>
  <c r="AB930" i="4"/>
  <c r="AB931" i="4"/>
  <c r="AB932" i="4"/>
  <c r="AB933" i="4"/>
  <c r="AB934" i="4"/>
  <c r="AB935" i="4"/>
  <c r="AB936" i="4"/>
  <c r="AB937" i="4"/>
  <c r="AB938" i="4"/>
  <c r="AB939" i="4"/>
  <c r="AB940" i="4"/>
  <c r="AB941" i="4"/>
  <c r="AB942" i="4"/>
  <c r="AB943" i="4"/>
  <c r="AB944" i="4"/>
  <c r="AB945" i="4"/>
  <c r="AB946" i="4"/>
  <c r="AB947" i="4"/>
  <c r="AB948" i="4"/>
  <c r="AB949" i="4"/>
  <c r="AB950" i="4"/>
  <c r="AB951" i="4"/>
  <c r="AB952" i="4"/>
  <c r="AB953" i="4"/>
  <c r="AB954" i="4"/>
  <c r="AB955" i="4"/>
  <c r="AB956" i="4"/>
  <c r="AB957" i="4"/>
  <c r="AB958" i="4"/>
  <c r="AB959" i="4"/>
  <c r="AB960" i="4"/>
  <c r="AB961" i="4"/>
  <c r="AB962" i="4"/>
  <c r="AB963" i="4"/>
  <c r="AB964" i="4"/>
  <c r="AB965" i="4"/>
  <c r="AB966" i="4"/>
  <c r="AB967" i="4"/>
  <c r="AB969" i="4"/>
  <c r="AB970" i="4"/>
  <c r="AB971" i="4"/>
  <c r="AB972" i="4"/>
  <c r="AB973" i="4"/>
  <c r="AB974" i="4"/>
  <c r="AB975" i="4"/>
  <c r="AB976" i="4"/>
  <c r="AB977" i="4"/>
  <c r="AB978" i="4"/>
  <c r="AB979" i="4"/>
  <c r="AB980" i="4"/>
  <c r="AB981" i="4"/>
  <c r="AB982" i="4"/>
  <c r="AB983" i="4"/>
  <c r="AB984" i="4"/>
  <c r="AB985" i="4"/>
  <c r="AB986" i="4"/>
  <c r="AB987" i="4"/>
  <c r="AB988" i="4"/>
  <c r="AB989" i="4"/>
  <c r="AB990" i="4"/>
  <c r="AB991" i="4"/>
  <c r="AB992" i="4"/>
  <c r="AB993" i="4"/>
  <c r="AB994" i="4"/>
  <c r="AB995" i="4"/>
  <c r="AB996" i="4"/>
  <c r="AB997" i="4"/>
  <c r="AB998" i="4"/>
  <c r="AB999" i="4"/>
  <c r="AB1000" i="4"/>
  <c r="Z876" i="4"/>
  <c r="Z887" i="4"/>
  <c r="Z888" i="4"/>
  <c r="Z889" i="4"/>
  <c r="Z890" i="4"/>
  <c r="Z891" i="4"/>
  <c r="Z892" i="4"/>
  <c r="Z893" i="4"/>
  <c r="Z894" i="4"/>
  <c r="Z895" i="4"/>
  <c r="Z896" i="4"/>
  <c r="Z897" i="4"/>
  <c r="Z898" i="4"/>
  <c r="Z899" i="4"/>
  <c r="Z900" i="4"/>
  <c r="Z901" i="4"/>
  <c r="Z902" i="4"/>
  <c r="Z903" i="4"/>
  <c r="Z904" i="4"/>
  <c r="Z905" i="4"/>
  <c r="Z906" i="4"/>
  <c r="Z907" i="4"/>
  <c r="Z908" i="4"/>
  <c r="Z909" i="4"/>
  <c r="Z910" i="4"/>
  <c r="Z911" i="4"/>
  <c r="Z912" i="4"/>
  <c r="Z913" i="4"/>
  <c r="Z914" i="4"/>
  <c r="Z915" i="4"/>
  <c r="Z916" i="4"/>
  <c r="Z917" i="4"/>
  <c r="Z918" i="4"/>
  <c r="Z919" i="4"/>
  <c r="Z920" i="4"/>
  <c r="Z921" i="4"/>
  <c r="Z922" i="4"/>
  <c r="Z923" i="4"/>
  <c r="Z924" i="4"/>
  <c r="Z925" i="4"/>
  <c r="Z926" i="4"/>
  <c r="Z927" i="4"/>
  <c r="Z928" i="4"/>
  <c r="Z929" i="4"/>
  <c r="Z930" i="4"/>
  <c r="Z931" i="4"/>
  <c r="Z932" i="4"/>
  <c r="Z933" i="4"/>
  <c r="Z934" i="4"/>
  <c r="Z935" i="4"/>
  <c r="Z936" i="4"/>
  <c r="Z937" i="4"/>
  <c r="Z938" i="4"/>
  <c r="Z939" i="4"/>
  <c r="Z940" i="4"/>
  <c r="Z941" i="4"/>
  <c r="Z942" i="4"/>
  <c r="Z943" i="4"/>
  <c r="Z944" i="4"/>
  <c r="Z945" i="4"/>
  <c r="Z946" i="4"/>
  <c r="Z947" i="4"/>
  <c r="Z948" i="4"/>
  <c r="Z949" i="4"/>
  <c r="Z950" i="4"/>
  <c r="Z951" i="4"/>
  <c r="Z952" i="4"/>
  <c r="Z953" i="4"/>
  <c r="Z954" i="4"/>
  <c r="Z955" i="4"/>
  <c r="Z956" i="4"/>
  <c r="Z957" i="4"/>
  <c r="Z958" i="4"/>
  <c r="Z959" i="4"/>
  <c r="Z960" i="4"/>
  <c r="Z961" i="4"/>
  <c r="Z962" i="4"/>
  <c r="Z963" i="4"/>
  <c r="Z964" i="4"/>
  <c r="Z965" i="4"/>
  <c r="Z966" i="4"/>
  <c r="Z967" i="4"/>
  <c r="Z969" i="4"/>
  <c r="Z970" i="4"/>
  <c r="Z971" i="4"/>
  <c r="Z972" i="4"/>
  <c r="Z973" i="4"/>
  <c r="Z974" i="4"/>
  <c r="Z975" i="4"/>
  <c r="Z976" i="4"/>
  <c r="Z977" i="4"/>
  <c r="Z978" i="4"/>
  <c r="Z979" i="4"/>
  <c r="Z980" i="4"/>
  <c r="Z981" i="4"/>
  <c r="Z982" i="4"/>
  <c r="Z983" i="4"/>
  <c r="Z984" i="4"/>
  <c r="Z985" i="4"/>
  <c r="Z986" i="4"/>
  <c r="Z987" i="4"/>
  <c r="Z988" i="4"/>
  <c r="Z989" i="4"/>
  <c r="Z990" i="4"/>
  <c r="Z991" i="4"/>
  <c r="Z992" i="4"/>
  <c r="Z993" i="4"/>
  <c r="Z994" i="4"/>
  <c r="Z995" i="4"/>
  <c r="Z996" i="4"/>
  <c r="Z997" i="4"/>
  <c r="Z998" i="4"/>
  <c r="Z999" i="4"/>
  <c r="Z1000" i="4"/>
  <c r="T875" i="4"/>
  <c r="AB875" i="4" s="1"/>
  <c r="T874" i="4"/>
  <c r="T873" i="4"/>
  <c r="T870" i="4"/>
  <c r="T868" i="4"/>
  <c r="T867" i="4"/>
  <c r="T866" i="4"/>
  <c r="T865" i="4"/>
  <c r="AC1000" i="4" l="1"/>
  <c r="AC996" i="4"/>
  <c r="AC992" i="4"/>
  <c r="AC988" i="4"/>
  <c r="AC984" i="4"/>
  <c r="AC980" i="4"/>
  <c r="AC976" i="4"/>
  <c r="AC972" i="4"/>
  <c r="AC964" i="4"/>
  <c r="AC960" i="4"/>
  <c r="AC956" i="4"/>
  <c r="AC952" i="4"/>
  <c r="AC948" i="4"/>
  <c r="AC944" i="4"/>
  <c r="AC940" i="4"/>
  <c r="AC936" i="4"/>
  <c r="AC932" i="4"/>
  <c r="AC928" i="4"/>
  <c r="AC924" i="4"/>
  <c r="AC920" i="4"/>
  <c r="AC916" i="4"/>
  <c r="AC900" i="4"/>
  <c r="Z885" i="4"/>
  <c r="AC885" i="4" s="1"/>
  <c r="Z884" i="4"/>
  <c r="AC884" i="4" s="1"/>
  <c r="AC876" i="4"/>
  <c r="AC997" i="4"/>
  <c r="AC993" i="4"/>
  <c r="AC989" i="4"/>
  <c r="AC985" i="4"/>
  <c r="AC981" i="4"/>
  <c r="AC977" i="4"/>
  <c r="AC973" i="4"/>
  <c r="AC969" i="4"/>
  <c r="AC965" i="4"/>
  <c r="AC961" i="4"/>
  <c r="AC957" i="4"/>
  <c r="AC953" i="4"/>
  <c r="AC949" i="4"/>
  <c r="AC945" i="4"/>
  <c r="AC941" i="4"/>
  <c r="AC937" i="4"/>
  <c r="AC933" i="4"/>
  <c r="AC929" i="4"/>
  <c r="AC925" i="4"/>
  <c r="AC921" i="4"/>
  <c r="AC917" i="4"/>
  <c r="AC909" i="4"/>
  <c r="AC913" i="4"/>
  <c r="AC912" i="4"/>
  <c r="AC908" i="4"/>
  <c r="AC905" i="4"/>
  <c r="AC904" i="4"/>
  <c r="AC896" i="4"/>
  <c r="AC892" i="4"/>
  <c r="AC888" i="4"/>
  <c r="Z886" i="4"/>
  <c r="AC886" i="4" s="1"/>
  <c r="AC999" i="4"/>
  <c r="AC995" i="4"/>
  <c r="AC991" i="4"/>
  <c r="AC987" i="4"/>
  <c r="AC983" i="4"/>
  <c r="AC979" i="4"/>
  <c r="AC975" i="4"/>
  <c r="AC971" i="4"/>
  <c r="AC967" i="4"/>
  <c r="AC963" i="4"/>
  <c r="AC959" i="4"/>
  <c r="AC955" i="4"/>
  <c r="AC951" i="4"/>
  <c r="AC947" i="4"/>
  <c r="AC943" i="4"/>
  <c r="AC939" i="4"/>
  <c r="AC935" i="4"/>
  <c r="AC931" i="4"/>
  <c r="AC927" i="4"/>
  <c r="AC923" i="4"/>
  <c r="AC919" i="4"/>
  <c r="AC915" i="4"/>
  <c r="AC911" i="4"/>
  <c r="AC907" i="4"/>
  <c r="AC903" i="4"/>
  <c r="AC899" i="4"/>
  <c r="AC895" i="4"/>
  <c r="AC891" i="4"/>
  <c r="AC887" i="4"/>
  <c r="AB878" i="4"/>
  <c r="AC878" i="4" s="1"/>
  <c r="AC998" i="4"/>
  <c r="AC994" i="4"/>
  <c r="AC990" i="4"/>
  <c r="AC986" i="4"/>
  <c r="AC982" i="4"/>
  <c r="AC978" i="4"/>
  <c r="AC974" i="4"/>
  <c r="AC970" i="4"/>
  <c r="AC966" i="4"/>
  <c r="AC962" i="4"/>
  <c r="AC958" i="4"/>
  <c r="AC954" i="4"/>
  <c r="AC950" i="4"/>
  <c r="AC946" i="4"/>
  <c r="AC942" i="4"/>
  <c r="AC938" i="4"/>
  <c r="AC934" i="4"/>
  <c r="AC930" i="4"/>
  <c r="AC926" i="4"/>
  <c r="AC922" i="4"/>
  <c r="AC918" i="4"/>
  <c r="AC914" i="4"/>
  <c r="AC910" i="4"/>
  <c r="AC906" i="4"/>
  <c r="AC902" i="4"/>
  <c r="AC898" i="4"/>
  <c r="AC894" i="4"/>
  <c r="AC890" i="4"/>
  <c r="AC901" i="4"/>
  <c r="AC897" i="4"/>
  <c r="AC893" i="4"/>
  <c r="AC889" i="4"/>
  <c r="Z875" i="4"/>
  <c r="AC875" i="4" s="1"/>
  <c r="Z883" i="4"/>
  <c r="AC883" i="4" s="1"/>
  <c r="Z882" i="4"/>
  <c r="AC882" i="4" s="1"/>
  <c r="AB881" i="4"/>
  <c r="AC881" i="4" s="1"/>
  <c r="AB880" i="4"/>
  <c r="AC880" i="4" s="1"/>
  <c r="Z879" i="4"/>
  <c r="AC879" i="4" s="1"/>
  <c r="Z877" i="4"/>
  <c r="AC877" i="4" s="1"/>
  <c r="T863" i="4" l="1"/>
  <c r="T862" i="4"/>
  <c r="T860" i="4"/>
  <c r="T859" i="4"/>
  <c r="T858" i="4"/>
  <c r="T854" i="4"/>
  <c r="T853" i="4"/>
  <c r="T852" i="4" l="1"/>
  <c r="Z852" i="4" s="1"/>
  <c r="T851" i="4"/>
  <c r="Z851" i="4" s="1"/>
  <c r="T850" i="4"/>
  <c r="AB850" i="4" s="1"/>
  <c r="T849" i="4"/>
  <c r="AB849" i="4" s="1"/>
  <c r="T847" i="4"/>
  <c r="Z847" i="4" s="1"/>
  <c r="T846" i="4"/>
  <c r="AB846" i="4" s="1"/>
  <c r="T845" i="4"/>
  <c r="AB845" i="4" s="1"/>
  <c r="S276" i="6"/>
  <c r="T276" i="6" s="1"/>
  <c r="Z843" i="4"/>
  <c r="Z844" i="4"/>
  <c r="Z848" i="4"/>
  <c r="Z853" i="4"/>
  <c r="Z854" i="4"/>
  <c r="Z855" i="4"/>
  <c r="Z856" i="4"/>
  <c r="Z857" i="4"/>
  <c r="Z858" i="4"/>
  <c r="Z859" i="4"/>
  <c r="Z860" i="4"/>
  <c r="Z861" i="4"/>
  <c r="Z862" i="4"/>
  <c r="Z863" i="4"/>
  <c r="Z864" i="4"/>
  <c r="Z865" i="4"/>
  <c r="Z866" i="4"/>
  <c r="Z867" i="4"/>
  <c r="Z868" i="4"/>
  <c r="Z869" i="4"/>
  <c r="Z870" i="4"/>
  <c r="Z871" i="4"/>
  <c r="Z872" i="4"/>
  <c r="Z873" i="4"/>
  <c r="Z874" i="4"/>
  <c r="T841" i="4"/>
  <c r="AB841" i="4" s="1"/>
  <c r="T842" i="4"/>
  <c r="AB842" i="4" s="1"/>
  <c r="AB843" i="4"/>
  <c r="AC843" i="4" s="1"/>
  <c r="AB844" i="4"/>
  <c r="AB848" i="4"/>
  <c r="AB853" i="4"/>
  <c r="AB854" i="4"/>
  <c r="AB855" i="4"/>
  <c r="AB856" i="4"/>
  <c r="AB857" i="4"/>
  <c r="AB858" i="4"/>
  <c r="AB859" i="4"/>
  <c r="AB860" i="4"/>
  <c r="AB861" i="4"/>
  <c r="AB862" i="4"/>
  <c r="AB863" i="4"/>
  <c r="AB864" i="4"/>
  <c r="AB865" i="4"/>
  <c r="AB866" i="4"/>
  <c r="AB867" i="4"/>
  <c r="AB868" i="4"/>
  <c r="AB869" i="4"/>
  <c r="AB870" i="4"/>
  <c r="AB871" i="4"/>
  <c r="AB872" i="4"/>
  <c r="AB873" i="4"/>
  <c r="AB874" i="4"/>
  <c r="AB833" i="4"/>
  <c r="AB834" i="4"/>
  <c r="AB835" i="4"/>
  <c r="AB836" i="4"/>
  <c r="T840" i="4"/>
  <c r="AB840" i="4" s="1"/>
  <c r="T839" i="4"/>
  <c r="AB839" i="4" s="1"/>
  <c r="T838" i="4"/>
  <c r="AB838" i="4" s="1"/>
  <c r="T837" i="4"/>
  <c r="AB837" i="4" s="1"/>
  <c r="T832" i="4"/>
  <c r="AB832" i="4" s="1"/>
  <c r="T831" i="4"/>
  <c r="AB831" i="4" s="1"/>
  <c r="T825" i="4"/>
  <c r="AB825" i="4" s="1"/>
  <c r="T822" i="4"/>
  <c r="T821" i="4"/>
  <c r="AB821" i="4" s="1"/>
  <c r="T820" i="4"/>
  <c r="AB820" i="4" s="1"/>
  <c r="T815" i="4"/>
  <c r="AB815" i="4" s="1"/>
  <c r="T813" i="4"/>
  <c r="AB813" i="4" s="1"/>
  <c r="T812" i="4"/>
  <c r="AB812" i="4" s="1"/>
  <c r="T811" i="4"/>
  <c r="AB811" i="4" s="1"/>
  <c r="T810" i="4"/>
  <c r="AB810" i="4" s="1"/>
  <c r="T808" i="4"/>
  <c r="AB808" i="4" s="1"/>
  <c r="T805" i="4"/>
  <c r="AB805" i="4" s="1"/>
  <c r="T803" i="4"/>
  <c r="AB803" i="4" s="1"/>
  <c r="AB804" i="4"/>
  <c r="AB806" i="4"/>
  <c r="AB807" i="4"/>
  <c r="AB809" i="4"/>
  <c r="AB814" i="4"/>
  <c r="AB816" i="4"/>
  <c r="AB817" i="4"/>
  <c r="AB818" i="4"/>
  <c r="AB819" i="4"/>
  <c r="AB822" i="4"/>
  <c r="AB823" i="4"/>
  <c r="AB824" i="4"/>
  <c r="AB826" i="4"/>
  <c r="AB827" i="4"/>
  <c r="AB828" i="4"/>
  <c r="AB829" i="4"/>
  <c r="AB830" i="4"/>
  <c r="T802" i="4"/>
  <c r="AB802" i="4" s="1"/>
  <c r="T801" i="4"/>
  <c r="T800" i="4"/>
  <c r="T799" i="4"/>
  <c r="T797" i="4"/>
  <c r="AC869" i="4" l="1"/>
  <c r="AC861" i="4"/>
  <c r="AC857" i="4"/>
  <c r="Z846" i="4"/>
  <c r="AC846" i="4" s="1"/>
  <c r="AC872" i="4"/>
  <c r="AC864" i="4"/>
  <c r="AC856" i="4"/>
  <c r="AC871" i="4"/>
  <c r="AC867" i="4"/>
  <c r="AC863" i="4"/>
  <c r="AC855" i="4"/>
  <c r="AC868" i="4"/>
  <c r="AC860" i="4"/>
  <c r="AC848" i="4"/>
  <c r="AB851" i="4"/>
  <c r="AC851" i="4" s="1"/>
  <c r="Z842" i="4"/>
  <c r="AC842" i="4" s="1"/>
  <c r="AC844" i="4"/>
  <c r="Z845" i="4"/>
  <c r="AC845" i="4" s="1"/>
  <c r="Z841" i="4"/>
  <c r="AC841" i="4" s="1"/>
  <c r="AC870" i="4"/>
  <c r="AC866" i="4"/>
  <c r="AC862" i="4"/>
  <c r="AC858" i="4"/>
  <c r="AC854" i="4"/>
  <c r="Z850" i="4"/>
  <c r="AC850" i="4" s="1"/>
  <c r="AC874" i="4"/>
  <c r="AC873" i="4"/>
  <c r="AC865" i="4"/>
  <c r="AC859" i="4"/>
  <c r="AC853" i="4"/>
  <c r="AB852" i="4"/>
  <c r="AC852" i="4" s="1"/>
  <c r="Z849" i="4"/>
  <c r="AC849" i="4" s="1"/>
  <c r="AB847" i="4"/>
  <c r="AC847" i="4" s="1"/>
  <c r="S422" i="6"/>
  <c r="S421" i="6"/>
  <c r="S103" i="6" l="1"/>
  <c r="Y103" i="6" s="1"/>
  <c r="T715" i="4" l="1"/>
  <c r="T714" i="4"/>
  <c r="T713" i="4"/>
  <c r="T711" i="4"/>
  <c r="T716" i="4"/>
  <c r="T717" i="4"/>
  <c r="T796" i="4" l="1"/>
  <c r="T792" i="4"/>
  <c r="T791" i="4"/>
  <c r="T790" i="4"/>
  <c r="T789" i="4"/>
  <c r="T786" i="4"/>
  <c r="T784" i="4"/>
  <c r="T783" i="4"/>
  <c r="T782" i="4"/>
  <c r="T781" i="4"/>
  <c r="T780" i="4"/>
  <c r="T774" i="4"/>
  <c r="T771" i="4"/>
  <c r="T770" i="4"/>
  <c r="T769" i="4"/>
  <c r="T768" i="4" l="1"/>
  <c r="T765" i="4"/>
  <c r="T764" i="4"/>
  <c r="T763" i="4"/>
  <c r="T759" i="4"/>
  <c r="T758" i="4"/>
  <c r="T757" i="4"/>
  <c r="T756" i="4"/>
  <c r="T754" i="4"/>
  <c r="T752" i="4"/>
  <c r="T747" i="4"/>
  <c r="T746" i="4"/>
  <c r="T745" i="4"/>
  <c r="T743" i="4" l="1"/>
  <c r="T742" i="4"/>
  <c r="T741" i="4"/>
  <c r="T740" i="4"/>
  <c r="T739" i="4"/>
  <c r="T738" i="4"/>
  <c r="T737" i="4"/>
  <c r="T736" i="4"/>
  <c r="S407" i="6"/>
  <c r="S406" i="6"/>
  <c r="T734" i="4" l="1"/>
  <c r="T729" i="4"/>
  <c r="T728" i="4"/>
  <c r="T727" i="4"/>
  <c r="T726" i="4"/>
  <c r="T725" i="4"/>
  <c r="T724" i="4"/>
  <c r="T723" i="4" l="1"/>
  <c r="T722" i="4"/>
  <c r="T720" i="4" l="1"/>
  <c r="T719" i="4"/>
  <c r="T718" i="4"/>
  <c r="T708" i="4"/>
  <c r="T700" i="4"/>
  <c r="S393" i="6" l="1"/>
  <c r="S379" i="6"/>
  <c r="S378" i="6"/>
  <c r="S377" i="6"/>
  <c r="U379" i="6"/>
  <c r="U378" i="6"/>
  <c r="V468" i="6"/>
  <c r="V470" i="6"/>
  <c r="V471" i="6"/>
  <c r="V472" i="6"/>
  <c r="V473" i="6"/>
  <c r="V474" i="6"/>
  <c r="V475" i="6"/>
  <c r="V476" i="6"/>
  <c r="V477" i="6"/>
  <c r="V478" i="6"/>
  <c r="V479" i="6"/>
  <c r="V480" i="6"/>
  <c r="V481" i="6"/>
  <c r="V482" i="6"/>
  <c r="V483" i="6"/>
  <c r="V484" i="6"/>
  <c r="U380" i="6"/>
  <c r="U381" i="6"/>
  <c r="U382" i="6"/>
  <c r="U383" i="6"/>
  <c r="U384" i="6"/>
  <c r="U385" i="6"/>
  <c r="U386" i="6"/>
  <c r="U387" i="6"/>
  <c r="U388" i="6"/>
  <c r="U389" i="6"/>
  <c r="U390" i="6"/>
  <c r="U391" i="6"/>
  <c r="U392" i="6"/>
  <c r="U393" i="6"/>
  <c r="U394" i="6"/>
  <c r="U395" i="6"/>
  <c r="U396" i="6"/>
  <c r="U397" i="6"/>
  <c r="U398" i="6"/>
  <c r="U399" i="6"/>
  <c r="U400" i="6"/>
  <c r="U401" i="6"/>
  <c r="U402" i="6"/>
  <c r="U403" i="6"/>
  <c r="U404" i="6"/>
  <c r="U405" i="6"/>
  <c r="U406" i="6"/>
  <c r="U407" i="6"/>
  <c r="U408" i="6"/>
  <c r="U409" i="6"/>
  <c r="U410" i="6"/>
  <c r="U411" i="6"/>
  <c r="U412" i="6"/>
  <c r="U413" i="6"/>
  <c r="U414" i="6"/>
  <c r="U415" i="6"/>
  <c r="U416" i="6"/>
  <c r="U417" i="6"/>
  <c r="U418" i="6"/>
  <c r="U419" i="6"/>
  <c r="U420" i="6"/>
  <c r="U421" i="6"/>
  <c r="U422" i="6"/>
  <c r="U423" i="6"/>
  <c r="U424" i="6"/>
  <c r="U425" i="6"/>
  <c r="U426" i="6"/>
  <c r="U427" i="6"/>
  <c r="U428" i="6"/>
  <c r="U429" i="6"/>
  <c r="U430" i="6"/>
  <c r="U431" i="6"/>
  <c r="U432" i="6"/>
  <c r="V432" i="6" s="1"/>
  <c r="U433" i="6"/>
  <c r="U434" i="6"/>
  <c r="U435" i="6"/>
  <c r="U436" i="6"/>
  <c r="V436" i="6" s="1"/>
  <c r="U437" i="6"/>
  <c r="V437" i="6" s="1"/>
  <c r="U438" i="6"/>
  <c r="V438" i="6" s="1"/>
  <c r="U439" i="6"/>
  <c r="V439" i="6" s="1"/>
  <c r="U440" i="6"/>
  <c r="V440" i="6" s="1"/>
  <c r="U441" i="6"/>
  <c r="V441" i="6" s="1"/>
  <c r="U442" i="6"/>
  <c r="V442" i="6" s="1"/>
  <c r="U443" i="6"/>
  <c r="V443" i="6" s="1"/>
  <c r="U444" i="6"/>
  <c r="V444" i="6" s="1"/>
  <c r="U445" i="6"/>
  <c r="V445" i="6" s="1"/>
  <c r="U446" i="6"/>
  <c r="V446" i="6" s="1"/>
  <c r="U447" i="6"/>
  <c r="V447" i="6" s="1"/>
  <c r="U448" i="6"/>
  <c r="V448" i="6" s="1"/>
  <c r="U449" i="6"/>
  <c r="V449" i="6" s="1"/>
  <c r="U450" i="6"/>
  <c r="V450" i="6" s="1"/>
  <c r="U451" i="6"/>
  <c r="V451" i="6" s="1"/>
  <c r="U452" i="6"/>
  <c r="V452" i="6" s="1"/>
  <c r="U453" i="6"/>
  <c r="V453" i="6" s="1"/>
  <c r="U454" i="6"/>
  <c r="V454" i="6" s="1"/>
  <c r="U455" i="6"/>
  <c r="V455" i="6" s="1"/>
  <c r="U456" i="6"/>
  <c r="V456" i="6" s="1"/>
  <c r="U457" i="6"/>
  <c r="V457" i="6" s="1"/>
  <c r="U458" i="6"/>
  <c r="V458" i="6" s="1"/>
  <c r="U459" i="6"/>
  <c r="V459" i="6" s="1"/>
  <c r="U460" i="6"/>
  <c r="V460" i="6" s="1"/>
  <c r="U461" i="6"/>
  <c r="V461" i="6" s="1"/>
  <c r="U462" i="6"/>
  <c r="V462" i="6" s="1"/>
  <c r="U463" i="6"/>
  <c r="V463" i="6" s="1"/>
  <c r="U464" i="6"/>
  <c r="V464" i="6" s="1"/>
  <c r="U465" i="6"/>
  <c r="V465" i="6" s="1"/>
  <c r="U466" i="6"/>
  <c r="V466" i="6" s="1"/>
  <c r="U467" i="6"/>
  <c r="V467" i="6" s="1"/>
  <c r="S380" i="6"/>
  <c r="S381" i="6"/>
  <c r="S382" i="6"/>
  <c r="S383" i="6"/>
  <c r="S384" i="6"/>
  <c r="S385" i="6"/>
  <c r="S386" i="6"/>
  <c r="S387" i="6"/>
  <c r="S388" i="6"/>
  <c r="S389" i="6"/>
  <c r="S390" i="6"/>
  <c r="S392" i="6"/>
  <c r="S394" i="6"/>
  <c r="S395" i="6"/>
  <c r="S396" i="6"/>
  <c r="S397" i="6"/>
  <c r="S398" i="6"/>
  <c r="S399" i="6"/>
  <c r="S400" i="6"/>
  <c r="S401" i="6"/>
  <c r="S402" i="6"/>
  <c r="S403" i="6"/>
  <c r="T403" i="6" s="1"/>
  <c r="S404" i="6"/>
  <c r="S405" i="6"/>
  <c r="S408" i="6"/>
  <c r="S409" i="6"/>
  <c r="S410" i="6"/>
  <c r="S411" i="6"/>
  <c r="S412" i="6"/>
  <c r="S414" i="6"/>
  <c r="S415" i="6"/>
  <c r="S416" i="6"/>
  <c r="S420" i="6"/>
  <c r="S423" i="6"/>
  <c r="S424" i="6"/>
  <c r="S425" i="6"/>
  <c r="S428" i="6"/>
  <c r="S429" i="6"/>
  <c r="S431" i="6"/>
  <c r="S435" i="6"/>
  <c r="V424" i="6" l="1"/>
  <c r="V416" i="6"/>
  <c r="V408" i="6"/>
  <c r="V404" i="6"/>
  <c r="V400" i="6"/>
  <c r="V396" i="6"/>
  <c r="V428" i="6"/>
  <c r="V420" i="6"/>
  <c r="V412" i="6"/>
  <c r="V378" i="6"/>
  <c r="V392" i="6"/>
  <c r="V388" i="6"/>
  <c r="V433" i="6"/>
  <c r="V417" i="6"/>
  <c r="V409" i="6"/>
  <c r="V397" i="6"/>
  <c r="V389" i="6"/>
  <c r="V380" i="6"/>
  <c r="V429" i="6"/>
  <c r="V421" i="6"/>
  <c r="V405" i="6"/>
  <c r="V393" i="6"/>
  <c r="V435" i="6"/>
  <c r="V431" i="6"/>
  <c r="V427" i="6"/>
  <c r="V423" i="6"/>
  <c r="V419" i="6"/>
  <c r="V415" i="6"/>
  <c r="V411" i="6"/>
  <c r="V407" i="6"/>
  <c r="V403" i="6"/>
  <c r="V399" i="6"/>
  <c r="V395" i="6"/>
  <c r="V391" i="6"/>
  <c r="V387" i="6"/>
  <c r="V383" i="6"/>
  <c r="V425" i="6"/>
  <c r="V413" i="6"/>
  <c r="V401" i="6"/>
  <c r="V434" i="6"/>
  <c r="V430" i="6"/>
  <c r="V426" i="6"/>
  <c r="V422" i="6"/>
  <c r="V418" i="6"/>
  <c r="V414" i="6"/>
  <c r="V410" i="6"/>
  <c r="V406" i="6"/>
  <c r="V402" i="6"/>
  <c r="V398" i="6"/>
  <c r="V394" i="6"/>
  <c r="V390" i="6"/>
  <c r="V386" i="6"/>
  <c r="V382" i="6"/>
  <c r="V379" i="6"/>
  <c r="V385" i="6"/>
  <c r="V381" i="6"/>
  <c r="V384" i="6"/>
  <c r="T696" i="4"/>
  <c r="T697" i="4"/>
  <c r="T699" i="4"/>
  <c r="T698" i="4"/>
  <c r="T695" i="4"/>
  <c r="T694" i="4"/>
  <c r="T692" i="4"/>
  <c r="T689" i="4"/>
  <c r="T683" i="4" l="1"/>
  <c r="T682" i="4"/>
  <c r="T681" i="4"/>
  <c r="T679" i="4"/>
  <c r="T677" i="4"/>
  <c r="T676" i="4"/>
  <c r="T675" i="4"/>
  <c r="T674" i="4"/>
  <c r="T672" i="4"/>
  <c r="T671" i="4" l="1"/>
  <c r="T670" i="4"/>
  <c r="T669" i="4"/>
  <c r="T668" i="4"/>
  <c r="T667" i="4"/>
  <c r="T666" i="4"/>
  <c r="T665" i="4"/>
  <c r="T664" i="4"/>
  <c r="T663" i="4"/>
  <c r="T662" i="4"/>
  <c r="T661" i="4" l="1"/>
  <c r="T660" i="4"/>
  <c r="T659" i="4"/>
  <c r="T658" i="4"/>
  <c r="T657" i="4"/>
  <c r="T656" i="4"/>
  <c r="T655" i="4"/>
  <c r="T654" i="4" l="1"/>
  <c r="T653" i="4"/>
  <c r="T627" i="4"/>
  <c r="T613" i="4" l="1"/>
  <c r="Z613" i="4" s="1"/>
  <c r="T607" i="4"/>
  <c r="Z607" i="4" s="1"/>
  <c r="T601" i="4"/>
  <c r="Z601" i="4" s="1"/>
  <c r="T600" i="4"/>
  <c r="Z600" i="4" s="1"/>
  <c r="AB615" i="4"/>
  <c r="AB616" i="4"/>
  <c r="AB617" i="4"/>
  <c r="AB618" i="4"/>
  <c r="AB619" i="4"/>
  <c r="AB620" i="4"/>
  <c r="AB621" i="4"/>
  <c r="AB622" i="4"/>
  <c r="AB623" i="4"/>
  <c r="AB624" i="4"/>
  <c r="AB625" i="4"/>
  <c r="AB626" i="4"/>
  <c r="AB627" i="4"/>
  <c r="AB628" i="4"/>
  <c r="AB629" i="4"/>
  <c r="AB630" i="4"/>
  <c r="AB631" i="4"/>
  <c r="AB632" i="4"/>
  <c r="AB633" i="4"/>
  <c r="AB634" i="4"/>
  <c r="AB635" i="4"/>
  <c r="AB636" i="4"/>
  <c r="AB637" i="4"/>
  <c r="AB638" i="4"/>
  <c r="AB639" i="4"/>
  <c r="AB640" i="4"/>
  <c r="AB641" i="4"/>
  <c r="AB642" i="4"/>
  <c r="AB643" i="4"/>
  <c r="AB644" i="4"/>
  <c r="AB645" i="4"/>
  <c r="AB646" i="4"/>
  <c r="AB647" i="4"/>
  <c r="AB648" i="4"/>
  <c r="AB649" i="4"/>
  <c r="AB650" i="4"/>
  <c r="AB651" i="4"/>
  <c r="AB652" i="4"/>
  <c r="AB653" i="4"/>
  <c r="AB654" i="4"/>
  <c r="AB655" i="4"/>
  <c r="AB656" i="4"/>
  <c r="AB657" i="4"/>
  <c r="AB658" i="4"/>
  <c r="AB659" i="4"/>
  <c r="AB660" i="4"/>
  <c r="AB661" i="4"/>
  <c r="AB662" i="4"/>
  <c r="AB663" i="4"/>
  <c r="AB664" i="4"/>
  <c r="AB665" i="4"/>
  <c r="AB666" i="4"/>
  <c r="AB667" i="4"/>
  <c r="AB668" i="4"/>
  <c r="AB669" i="4"/>
  <c r="AB670" i="4"/>
  <c r="AB671" i="4"/>
  <c r="AB672" i="4"/>
  <c r="AB673" i="4"/>
  <c r="AB674" i="4"/>
  <c r="AB675" i="4"/>
  <c r="AB676" i="4"/>
  <c r="AB677" i="4"/>
  <c r="AB678" i="4"/>
  <c r="AB679" i="4"/>
  <c r="AB680" i="4"/>
  <c r="AB681" i="4"/>
  <c r="AB682" i="4"/>
  <c r="AB683" i="4"/>
  <c r="AB684" i="4"/>
  <c r="AB685" i="4"/>
  <c r="AB686" i="4"/>
  <c r="AB687" i="4"/>
  <c r="AB688" i="4"/>
  <c r="AB689" i="4"/>
  <c r="AB690" i="4"/>
  <c r="AB691" i="4"/>
  <c r="AB692" i="4"/>
  <c r="AB693" i="4"/>
  <c r="AB694" i="4"/>
  <c r="AB695" i="4"/>
  <c r="AB696" i="4"/>
  <c r="AB697" i="4"/>
  <c r="AB698" i="4"/>
  <c r="AB699" i="4"/>
  <c r="AB700" i="4"/>
  <c r="AB701" i="4"/>
  <c r="AB702" i="4"/>
  <c r="AB703" i="4"/>
  <c r="AB704" i="4"/>
  <c r="AB705" i="4"/>
  <c r="AB706" i="4"/>
  <c r="AB707" i="4"/>
  <c r="AB708" i="4"/>
  <c r="AB718" i="4"/>
  <c r="AB719" i="4"/>
  <c r="AB720" i="4"/>
  <c r="AB721" i="4"/>
  <c r="AB722" i="4"/>
  <c r="AB723" i="4"/>
  <c r="AB724" i="4"/>
  <c r="AB725" i="4"/>
  <c r="AB726" i="4"/>
  <c r="AB727" i="4"/>
  <c r="AB728" i="4"/>
  <c r="AB729" i="4"/>
  <c r="AB730" i="4"/>
  <c r="AB731" i="4"/>
  <c r="AB732" i="4"/>
  <c r="AB733" i="4"/>
  <c r="AB734" i="4"/>
  <c r="AB735" i="4"/>
  <c r="AB736" i="4"/>
  <c r="AB737" i="4"/>
  <c r="AB738" i="4"/>
  <c r="AB739" i="4"/>
  <c r="AB740" i="4"/>
  <c r="AB741" i="4"/>
  <c r="AB742" i="4"/>
  <c r="AB743" i="4"/>
  <c r="AB744" i="4"/>
  <c r="AB745" i="4"/>
  <c r="AB746" i="4"/>
  <c r="AB747" i="4"/>
  <c r="AB748" i="4"/>
  <c r="AB749" i="4"/>
  <c r="AB750" i="4"/>
  <c r="AB751" i="4"/>
  <c r="AB752" i="4"/>
  <c r="AB753" i="4"/>
  <c r="AB754" i="4"/>
  <c r="AB755" i="4"/>
  <c r="AB756" i="4"/>
  <c r="AB757" i="4"/>
  <c r="AB758" i="4"/>
  <c r="AB759" i="4"/>
  <c r="AB760" i="4"/>
  <c r="AB761" i="4"/>
  <c r="AB762" i="4"/>
  <c r="AB763" i="4"/>
  <c r="AB764" i="4"/>
  <c r="AB765" i="4"/>
  <c r="AB766" i="4"/>
  <c r="AB767" i="4"/>
  <c r="AB768" i="4"/>
  <c r="AB769" i="4"/>
  <c r="AB770" i="4"/>
  <c r="AB771" i="4"/>
  <c r="AB772" i="4"/>
  <c r="AB773" i="4"/>
  <c r="AB774" i="4"/>
  <c r="AB775" i="4"/>
  <c r="AB776" i="4"/>
  <c r="AB777" i="4"/>
  <c r="AB778" i="4"/>
  <c r="AB779" i="4"/>
  <c r="AB780" i="4"/>
  <c r="AB781" i="4"/>
  <c r="AB782" i="4"/>
  <c r="AB783" i="4"/>
  <c r="AB784" i="4"/>
  <c r="AB785" i="4"/>
  <c r="AB786" i="4"/>
  <c r="AB787" i="4"/>
  <c r="AB788" i="4"/>
  <c r="AB789" i="4"/>
  <c r="AB790" i="4"/>
  <c r="AB791" i="4"/>
  <c r="AB792" i="4"/>
  <c r="AB793" i="4"/>
  <c r="AB794" i="4"/>
  <c r="AB795" i="4"/>
  <c r="AB796" i="4"/>
  <c r="AB797" i="4"/>
  <c r="AB798" i="4"/>
  <c r="AB799" i="4"/>
  <c r="AB800" i="4"/>
  <c r="AB801" i="4"/>
  <c r="Z587" i="4"/>
  <c r="Z588" i="4"/>
  <c r="Z589" i="4"/>
  <c r="Z590" i="4"/>
  <c r="Z591" i="4"/>
  <c r="Z592" i="4"/>
  <c r="Z593" i="4"/>
  <c r="Z595" i="4"/>
  <c r="Z596" i="4"/>
  <c r="Z597" i="4"/>
  <c r="Z598" i="4"/>
  <c r="Z599" i="4"/>
  <c r="Z602" i="4"/>
  <c r="Z603" i="4"/>
  <c r="Z604" i="4"/>
  <c r="Z605" i="4"/>
  <c r="Z606" i="4"/>
  <c r="Z608" i="4"/>
  <c r="Z609" i="4"/>
  <c r="Z610" i="4"/>
  <c r="Z611" i="4"/>
  <c r="Z612" i="4"/>
  <c r="Z614" i="4"/>
  <c r="Z615" i="4"/>
  <c r="Z616" i="4"/>
  <c r="Z617" i="4"/>
  <c r="Z618" i="4"/>
  <c r="Z619" i="4"/>
  <c r="Z620" i="4"/>
  <c r="Z621" i="4"/>
  <c r="Z622" i="4"/>
  <c r="Z623" i="4"/>
  <c r="Z624" i="4"/>
  <c r="Z625" i="4"/>
  <c r="Z626" i="4"/>
  <c r="Z627" i="4"/>
  <c r="Z628" i="4"/>
  <c r="Z629" i="4"/>
  <c r="Z630" i="4"/>
  <c r="Z631" i="4"/>
  <c r="Z632" i="4"/>
  <c r="Z633" i="4"/>
  <c r="Z634" i="4"/>
  <c r="Z635" i="4"/>
  <c r="Z636" i="4"/>
  <c r="Z637" i="4"/>
  <c r="Z638" i="4"/>
  <c r="Z639" i="4"/>
  <c r="Z640" i="4"/>
  <c r="Z641" i="4"/>
  <c r="Z642" i="4"/>
  <c r="Z643" i="4"/>
  <c r="Z644" i="4"/>
  <c r="Z645" i="4"/>
  <c r="Z646" i="4"/>
  <c r="Z647" i="4"/>
  <c r="Z648" i="4"/>
  <c r="Z649" i="4"/>
  <c r="Z650" i="4"/>
  <c r="Z651" i="4"/>
  <c r="Z652" i="4"/>
  <c r="Z653" i="4"/>
  <c r="Z654" i="4"/>
  <c r="Z655" i="4"/>
  <c r="Z656" i="4"/>
  <c r="Z657" i="4"/>
  <c r="Z658" i="4"/>
  <c r="Z659" i="4"/>
  <c r="Z660" i="4"/>
  <c r="Z661" i="4"/>
  <c r="Z662" i="4"/>
  <c r="Z663" i="4"/>
  <c r="Z664" i="4"/>
  <c r="Z665" i="4"/>
  <c r="Z666" i="4"/>
  <c r="Z667" i="4"/>
  <c r="Z668" i="4"/>
  <c r="Z669" i="4"/>
  <c r="Z670" i="4"/>
  <c r="Z671" i="4"/>
  <c r="Z672" i="4"/>
  <c r="Z673" i="4"/>
  <c r="Z674" i="4"/>
  <c r="Z675" i="4"/>
  <c r="Z676" i="4"/>
  <c r="Z677" i="4"/>
  <c r="Z678" i="4"/>
  <c r="Z679" i="4"/>
  <c r="Z680" i="4"/>
  <c r="Z681" i="4"/>
  <c r="Z682" i="4"/>
  <c r="Z683" i="4"/>
  <c r="Z684" i="4"/>
  <c r="Z685" i="4"/>
  <c r="Z686" i="4"/>
  <c r="Z687" i="4"/>
  <c r="Z688" i="4"/>
  <c r="Z689" i="4"/>
  <c r="Z690" i="4"/>
  <c r="Z691" i="4"/>
  <c r="Z692" i="4"/>
  <c r="Z693" i="4"/>
  <c r="Z694" i="4"/>
  <c r="Z695" i="4"/>
  <c r="Z696" i="4"/>
  <c r="Z697" i="4"/>
  <c r="Z698" i="4"/>
  <c r="Z699" i="4"/>
  <c r="Z700" i="4"/>
  <c r="Z701" i="4"/>
  <c r="Z702" i="4"/>
  <c r="Z703" i="4"/>
  <c r="Z704" i="4"/>
  <c r="Z705" i="4"/>
  <c r="Z706" i="4"/>
  <c r="Z707" i="4"/>
  <c r="Z708" i="4"/>
  <c r="Z718" i="4"/>
  <c r="Z719" i="4"/>
  <c r="Z720" i="4"/>
  <c r="Z721" i="4"/>
  <c r="Z722" i="4"/>
  <c r="Z723" i="4"/>
  <c r="Z724" i="4"/>
  <c r="Z725" i="4"/>
  <c r="Z726" i="4"/>
  <c r="Z727" i="4"/>
  <c r="Z728" i="4"/>
  <c r="Z729" i="4"/>
  <c r="Z730" i="4"/>
  <c r="Z731" i="4"/>
  <c r="Z732" i="4"/>
  <c r="Z733" i="4"/>
  <c r="Z734" i="4"/>
  <c r="Z735" i="4"/>
  <c r="Z736" i="4"/>
  <c r="Z737" i="4"/>
  <c r="Z738" i="4"/>
  <c r="Z739" i="4"/>
  <c r="Z740" i="4"/>
  <c r="Z741" i="4"/>
  <c r="Z742" i="4"/>
  <c r="Z743" i="4"/>
  <c r="Z744" i="4"/>
  <c r="Z745" i="4"/>
  <c r="Z746" i="4"/>
  <c r="Z747" i="4"/>
  <c r="Z748" i="4"/>
  <c r="Z749" i="4"/>
  <c r="Z750" i="4"/>
  <c r="Z751" i="4"/>
  <c r="Z752" i="4"/>
  <c r="AA752" i="4" s="1"/>
  <c r="Z753" i="4"/>
  <c r="Z754" i="4"/>
  <c r="Z755" i="4"/>
  <c r="Z756" i="4"/>
  <c r="Z757" i="4"/>
  <c r="Z758" i="4"/>
  <c r="Z759" i="4"/>
  <c r="Z760" i="4"/>
  <c r="Z761" i="4"/>
  <c r="Z762" i="4"/>
  <c r="Z763" i="4"/>
  <c r="Z764" i="4"/>
  <c r="Z765" i="4"/>
  <c r="Z766" i="4"/>
  <c r="Z767" i="4"/>
  <c r="Z768" i="4"/>
  <c r="Z769" i="4"/>
  <c r="Z770" i="4"/>
  <c r="Z771" i="4"/>
  <c r="Z772" i="4"/>
  <c r="Z773" i="4"/>
  <c r="Z774" i="4"/>
  <c r="Z775" i="4"/>
  <c r="Z776" i="4"/>
  <c r="Z777" i="4"/>
  <c r="Z778" i="4"/>
  <c r="Z779" i="4"/>
  <c r="Z780" i="4"/>
  <c r="Z781" i="4"/>
  <c r="Z782" i="4"/>
  <c r="Z783" i="4"/>
  <c r="Z784" i="4"/>
  <c r="Z785" i="4"/>
  <c r="Z786" i="4"/>
  <c r="Z787" i="4"/>
  <c r="Z788" i="4"/>
  <c r="Z789" i="4"/>
  <c r="Z790" i="4"/>
  <c r="Z791" i="4"/>
  <c r="Z792" i="4"/>
  <c r="Z793" i="4"/>
  <c r="Z794" i="4"/>
  <c r="Z795" i="4"/>
  <c r="Z796" i="4"/>
  <c r="Z797" i="4"/>
  <c r="Z798" i="4"/>
  <c r="Z799" i="4"/>
  <c r="Z800" i="4"/>
  <c r="Z801" i="4"/>
  <c r="Z802" i="4"/>
  <c r="Z803" i="4"/>
  <c r="Z804" i="4"/>
  <c r="Z805" i="4"/>
  <c r="Z806" i="4"/>
  <c r="Z807" i="4"/>
  <c r="Z808" i="4"/>
  <c r="Z809" i="4"/>
  <c r="Z810" i="4"/>
  <c r="Z811" i="4"/>
  <c r="Z812" i="4"/>
  <c r="Z813" i="4"/>
  <c r="Z814" i="4"/>
  <c r="Z815" i="4"/>
  <c r="Z816" i="4"/>
  <c r="Z817" i="4"/>
  <c r="Z818" i="4"/>
  <c r="Z819" i="4"/>
  <c r="Z820" i="4"/>
  <c r="Z821" i="4"/>
  <c r="Z822" i="4"/>
  <c r="Z823" i="4"/>
  <c r="Z824" i="4"/>
  <c r="Z825" i="4"/>
  <c r="Z826" i="4"/>
  <c r="Z827" i="4"/>
  <c r="Z828" i="4"/>
  <c r="Z829" i="4"/>
  <c r="Z830" i="4"/>
  <c r="Z831" i="4"/>
  <c r="Z832" i="4"/>
  <c r="Z833" i="4"/>
  <c r="Z834" i="4"/>
  <c r="Z835" i="4"/>
  <c r="Z836" i="4"/>
  <c r="Z837" i="4"/>
  <c r="AC837" i="4" s="1"/>
  <c r="Z838" i="4"/>
  <c r="AC838" i="4" s="1"/>
  <c r="Z839" i="4"/>
  <c r="AC839" i="4" s="1"/>
  <c r="Z840" i="4"/>
  <c r="AC840" i="4" s="1"/>
  <c r="T594" i="4"/>
  <c r="Z594" i="4" s="1"/>
  <c r="AC618" i="4" l="1"/>
  <c r="AC836" i="4"/>
  <c r="AC832" i="4"/>
  <c r="AC828" i="4"/>
  <c r="AC824" i="4"/>
  <c r="AC820" i="4"/>
  <c r="AC816" i="4"/>
  <c r="AC812" i="4"/>
  <c r="AC808" i="4"/>
  <c r="AC804" i="4"/>
  <c r="AC800" i="4"/>
  <c r="AC796" i="4"/>
  <c r="AC792" i="4"/>
  <c r="AC788" i="4"/>
  <c r="AC784" i="4"/>
  <c r="AC780" i="4"/>
  <c r="AC776" i="4"/>
  <c r="AC772" i="4"/>
  <c r="AC768" i="4"/>
  <c r="AC764" i="4"/>
  <c r="AC760" i="4"/>
  <c r="AC756" i="4"/>
  <c r="AC752" i="4"/>
  <c r="AC748" i="4"/>
  <c r="AC744" i="4"/>
  <c r="AC740" i="4"/>
  <c r="AC736" i="4"/>
  <c r="AC732" i="4"/>
  <c r="AC728" i="4"/>
  <c r="AC724" i="4"/>
  <c r="AC720" i="4"/>
  <c r="AC707" i="4"/>
  <c r="AC703" i="4"/>
  <c r="AC699" i="4"/>
  <c r="AC695" i="4"/>
  <c r="AC691" i="4"/>
  <c r="AC687" i="4"/>
  <c r="AC683" i="4"/>
  <c r="AC679" i="4"/>
  <c r="AC675" i="4"/>
  <c r="AC671" i="4"/>
  <c r="AC667" i="4"/>
  <c r="AC663" i="4"/>
  <c r="AC659" i="4"/>
  <c r="AC654" i="4"/>
  <c r="AC650" i="4"/>
  <c r="AC646" i="4"/>
  <c r="AC643" i="4"/>
  <c r="AC639" i="4"/>
  <c r="AC636" i="4"/>
  <c r="AC629" i="4"/>
  <c r="AC625" i="4"/>
  <c r="AC621" i="4"/>
  <c r="AC835" i="4"/>
  <c r="AC831" i="4"/>
  <c r="AC827" i="4"/>
  <c r="AC823" i="4"/>
  <c r="AC819" i="4"/>
  <c r="AC815" i="4"/>
  <c r="AC811" i="4"/>
  <c r="AC807" i="4"/>
  <c r="AC803" i="4"/>
  <c r="AC799" i="4"/>
  <c r="AC795" i="4"/>
  <c r="AC791" i="4"/>
  <c r="AC787" i="4"/>
  <c r="AC783" i="4"/>
  <c r="AC779" i="4"/>
  <c r="AC775" i="4"/>
  <c r="AC771" i="4"/>
  <c r="AC767" i="4"/>
  <c r="AC763" i="4"/>
  <c r="AC759" i="4"/>
  <c r="AC755" i="4"/>
  <c r="AC751" i="4"/>
  <c r="AC747" i="4"/>
  <c r="AC743" i="4"/>
  <c r="AC739" i="4"/>
  <c r="AC735" i="4"/>
  <c r="AC731" i="4"/>
  <c r="AC727" i="4"/>
  <c r="AC723" i="4"/>
  <c r="AC719" i="4"/>
  <c r="AC706" i="4"/>
  <c r="AC702" i="4"/>
  <c r="AC698" i="4"/>
  <c r="AC694" i="4"/>
  <c r="AC690" i="4"/>
  <c r="AC686" i="4"/>
  <c r="AC682" i="4"/>
  <c r="AC678" i="4"/>
  <c r="AC674" i="4"/>
  <c r="AC670" i="4"/>
  <c r="AC666" i="4"/>
  <c r="AC662" i="4"/>
  <c r="AC658" i="4"/>
  <c r="AC653" i="4"/>
  <c r="AC649" i="4"/>
  <c r="AC642" i="4"/>
  <c r="AC638" i="4"/>
  <c r="AC635" i="4"/>
  <c r="AC632" i="4"/>
  <c r="AC628" i="4"/>
  <c r="AC624" i="4"/>
  <c r="AC620" i="4"/>
  <c r="AC617" i="4"/>
  <c r="AC834" i="4"/>
  <c r="AC830" i="4"/>
  <c r="AC826" i="4"/>
  <c r="AC822" i="4"/>
  <c r="AC818" i="4"/>
  <c r="AC814" i="4"/>
  <c r="AC810" i="4"/>
  <c r="AC806" i="4"/>
  <c r="AC802" i="4"/>
  <c r="AC798" i="4"/>
  <c r="AC794" i="4"/>
  <c r="AC790" i="4"/>
  <c r="AC786" i="4"/>
  <c r="AC782" i="4"/>
  <c r="AC778" i="4"/>
  <c r="AC774" i="4"/>
  <c r="AC770" i="4"/>
  <c r="AC766" i="4"/>
  <c r="AC762" i="4"/>
  <c r="AC758" i="4"/>
  <c r="AC754" i="4"/>
  <c r="AC750" i="4"/>
  <c r="AC746" i="4"/>
  <c r="AC742" i="4"/>
  <c r="AC738" i="4"/>
  <c r="AC734" i="4"/>
  <c r="AC730" i="4"/>
  <c r="AC726" i="4"/>
  <c r="AC722" i="4"/>
  <c r="AC718" i="4"/>
  <c r="AC705" i="4"/>
  <c r="AC701" i="4"/>
  <c r="AC697" i="4"/>
  <c r="AC693" i="4"/>
  <c r="AC689" i="4"/>
  <c r="AC685" i="4"/>
  <c r="AC681" i="4"/>
  <c r="AC677" i="4"/>
  <c r="AC673" i="4"/>
  <c r="AC669" i="4"/>
  <c r="AC665" i="4"/>
  <c r="AC661" i="4"/>
  <c r="AC657" i="4"/>
  <c r="AC655" i="4"/>
  <c r="AC652" i="4"/>
  <c r="AC648" i="4"/>
  <c r="AC645" i="4"/>
  <c r="AC641" i="4"/>
  <c r="AC637" i="4"/>
  <c r="AC634" i="4"/>
  <c r="AC631" i="4"/>
  <c r="AC627" i="4"/>
  <c r="AC623" i="4"/>
  <c r="AC616" i="4"/>
  <c r="AC749" i="4"/>
  <c r="AC745" i="4"/>
  <c r="AC741" i="4"/>
  <c r="AC737" i="4"/>
  <c r="AC733" i="4"/>
  <c r="AC729" i="4"/>
  <c r="AC725" i="4"/>
  <c r="AC721" i="4"/>
  <c r="AC708" i="4"/>
  <c r="AC704" i="4"/>
  <c r="AC700" i="4"/>
  <c r="AC696" i="4"/>
  <c r="AC692" i="4"/>
  <c r="AC688" i="4"/>
  <c r="AC684" i="4"/>
  <c r="AC680" i="4"/>
  <c r="AC676" i="4"/>
  <c r="AC672" i="4"/>
  <c r="AC668" i="4"/>
  <c r="AC664" i="4"/>
  <c r="AC660" i="4"/>
  <c r="AC656" i="4"/>
  <c r="AC651" i="4"/>
  <c r="AC647" i="4"/>
  <c r="AC644" i="4"/>
  <c r="AC640" i="4"/>
  <c r="AC633" i="4"/>
  <c r="AC630" i="4"/>
  <c r="AC626" i="4"/>
  <c r="AC622" i="4"/>
  <c r="AC619" i="4"/>
  <c r="AC615" i="4"/>
  <c r="AC833" i="4"/>
  <c r="AC829" i="4"/>
  <c r="AC825" i="4"/>
  <c r="AC821" i="4"/>
  <c r="AC817" i="4"/>
  <c r="AC813" i="4"/>
  <c r="AC809" i="4"/>
  <c r="AC805" i="4"/>
  <c r="AC801" i="4"/>
  <c r="AC797" i="4"/>
  <c r="AC793" i="4"/>
  <c r="AC789" i="4"/>
  <c r="AC785" i="4"/>
  <c r="AC781" i="4"/>
  <c r="AC777" i="4"/>
  <c r="AC773" i="4"/>
  <c r="AC769" i="4"/>
  <c r="AC765" i="4"/>
  <c r="AC761" i="4"/>
  <c r="AC757" i="4"/>
  <c r="AC753" i="4"/>
  <c r="U358" i="6"/>
  <c r="U359" i="6"/>
  <c r="U360" i="6"/>
  <c r="U361" i="6"/>
  <c r="U362" i="6"/>
  <c r="U363" i="6"/>
  <c r="U364" i="6"/>
  <c r="U365" i="6"/>
  <c r="U366" i="6"/>
  <c r="U367" i="6"/>
  <c r="U368" i="6"/>
  <c r="U369" i="6"/>
  <c r="U370" i="6"/>
  <c r="U371" i="6"/>
  <c r="U372" i="6"/>
  <c r="U373" i="6"/>
  <c r="U374" i="6"/>
  <c r="U375" i="6"/>
  <c r="U376" i="6"/>
  <c r="U377" i="6"/>
  <c r="V377" i="6" s="1"/>
  <c r="S358" i="6"/>
  <c r="S359" i="6"/>
  <c r="S360" i="6"/>
  <c r="S361" i="6"/>
  <c r="S362" i="6"/>
  <c r="S363" i="6"/>
  <c r="S364" i="6"/>
  <c r="S366" i="6"/>
  <c r="S367" i="6"/>
  <c r="S368" i="6"/>
  <c r="S369" i="6"/>
  <c r="S370" i="6"/>
  <c r="S371" i="6"/>
  <c r="S372" i="6"/>
  <c r="S373" i="6"/>
  <c r="S374" i="6"/>
  <c r="S375" i="6"/>
  <c r="S376" i="6"/>
  <c r="U357" i="6"/>
  <c r="S357" i="6"/>
  <c r="U356" i="6"/>
  <c r="S356" i="6"/>
  <c r="V373" i="6" l="1"/>
  <c r="V369" i="6"/>
  <c r="V368" i="6"/>
  <c r="V374" i="6"/>
  <c r="V370" i="6"/>
  <c r="V366" i="6"/>
  <c r="V362" i="6"/>
  <c r="V375" i="6"/>
  <c r="V367" i="6"/>
  <c r="V363" i="6"/>
  <c r="V365" i="6"/>
  <c r="V361" i="6"/>
  <c r="V371" i="6"/>
  <c r="V359" i="6"/>
  <c r="V376" i="6"/>
  <c r="V372" i="6"/>
  <c r="V364" i="6"/>
  <c r="V360" i="6"/>
  <c r="S330" i="6"/>
  <c r="R66" i="5" l="1"/>
  <c r="T566" i="4" l="1"/>
  <c r="T565" i="4"/>
  <c r="T553" i="4" l="1"/>
  <c r="AA551" i="4" l="1"/>
  <c r="T550" i="4"/>
  <c r="AB550" i="4" s="1"/>
  <c r="Z546" i="4"/>
  <c r="Z547" i="4"/>
  <c r="Z548" i="4"/>
  <c r="Z549" i="4"/>
  <c r="Z551" i="4"/>
  <c r="Z552" i="4"/>
  <c r="Z553" i="4"/>
  <c r="Z554" i="4"/>
  <c r="Z555" i="4"/>
  <c r="Z556" i="4"/>
  <c r="Z557" i="4"/>
  <c r="Z558" i="4"/>
  <c r="Z559" i="4"/>
  <c r="Z560" i="4"/>
  <c r="Z561" i="4"/>
  <c r="Z562" i="4"/>
  <c r="Z563" i="4"/>
  <c r="Z564" i="4"/>
  <c r="Z565" i="4"/>
  <c r="Z566" i="4"/>
  <c r="Z567" i="4"/>
  <c r="Z568" i="4"/>
  <c r="Z569" i="4"/>
  <c r="Z570" i="4"/>
  <c r="Z571" i="4"/>
  <c r="Z572" i="4"/>
  <c r="Z573" i="4"/>
  <c r="Z574" i="4"/>
  <c r="Z575" i="4"/>
  <c r="Z576" i="4"/>
  <c r="Z577" i="4"/>
  <c r="Z578" i="4"/>
  <c r="Z579" i="4"/>
  <c r="Z580" i="4"/>
  <c r="Z581" i="4"/>
  <c r="Z582" i="4"/>
  <c r="Z583" i="4"/>
  <c r="Z584" i="4"/>
  <c r="Z585" i="4"/>
  <c r="Z586" i="4"/>
  <c r="T545" i="4"/>
  <c r="AB545" i="4" s="1"/>
  <c r="AB541" i="4"/>
  <c r="AB542" i="4"/>
  <c r="AB543" i="4"/>
  <c r="AC543" i="4" s="1"/>
  <c r="AB546" i="4"/>
  <c r="AB547" i="4"/>
  <c r="AB548" i="4"/>
  <c r="AB549" i="4"/>
  <c r="AC549" i="4" s="1"/>
  <c r="AB551" i="4"/>
  <c r="AB552" i="4"/>
  <c r="AB553" i="4"/>
  <c r="AB554" i="4"/>
  <c r="AB555" i="4"/>
  <c r="AB556" i="4"/>
  <c r="AB557" i="4"/>
  <c r="AB558" i="4"/>
  <c r="AB559" i="4"/>
  <c r="AB560" i="4"/>
  <c r="AB561" i="4"/>
  <c r="AB562" i="4"/>
  <c r="AC562" i="4" s="1"/>
  <c r="AB563" i="4"/>
  <c r="AB564" i="4"/>
  <c r="AB565" i="4"/>
  <c r="AC565" i="4" s="1"/>
  <c r="AB566" i="4"/>
  <c r="AC566" i="4" s="1"/>
  <c r="AB567" i="4"/>
  <c r="AB568" i="4"/>
  <c r="AB569" i="4"/>
  <c r="AB570" i="4"/>
  <c r="AC570" i="4" s="1"/>
  <c r="AB571" i="4"/>
  <c r="AB572" i="4"/>
  <c r="AB573" i="4"/>
  <c r="AB574" i="4"/>
  <c r="AB575" i="4"/>
  <c r="AB576" i="4"/>
  <c r="AB577" i="4"/>
  <c r="AB578" i="4"/>
  <c r="AB579" i="4"/>
  <c r="AB580" i="4"/>
  <c r="AB581" i="4"/>
  <c r="AC581" i="4" s="1"/>
  <c r="AB582" i="4"/>
  <c r="AC582" i="4" s="1"/>
  <c r="AB583" i="4"/>
  <c r="AB584" i="4"/>
  <c r="AB585" i="4"/>
  <c r="AB586" i="4"/>
  <c r="AC586" i="4" s="1"/>
  <c r="AB587" i="4"/>
  <c r="AC587" i="4" s="1"/>
  <c r="AB588" i="4"/>
  <c r="AC588" i="4" s="1"/>
  <c r="AB589" i="4"/>
  <c r="AC589" i="4" s="1"/>
  <c r="AB590" i="4"/>
  <c r="AC590" i="4" s="1"/>
  <c r="AB591" i="4"/>
  <c r="AC591" i="4" s="1"/>
  <c r="AB592" i="4"/>
  <c r="AC592" i="4" s="1"/>
  <c r="AB593" i="4"/>
  <c r="AC593" i="4" s="1"/>
  <c r="AB594" i="4"/>
  <c r="AC594" i="4" s="1"/>
  <c r="AB595" i="4"/>
  <c r="AC595" i="4" s="1"/>
  <c r="AB596" i="4"/>
  <c r="AC596" i="4" s="1"/>
  <c r="AB597" i="4"/>
  <c r="AC597" i="4" s="1"/>
  <c r="AB598" i="4"/>
  <c r="AC598" i="4" s="1"/>
  <c r="AB599" i="4"/>
  <c r="AC599" i="4" s="1"/>
  <c r="AB600" i="4"/>
  <c r="AC600" i="4" s="1"/>
  <c r="AB601" i="4"/>
  <c r="AC601" i="4" s="1"/>
  <c r="AB602" i="4"/>
  <c r="AC602" i="4" s="1"/>
  <c r="AB603" i="4"/>
  <c r="AC603" i="4" s="1"/>
  <c r="AB604" i="4"/>
  <c r="AC604" i="4" s="1"/>
  <c r="AB605" i="4"/>
  <c r="AC605" i="4" s="1"/>
  <c r="AB606" i="4"/>
  <c r="AC606" i="4" s="1"/>
  <c r="AB607" i="4"/>
  <c r="AC607" i="4" s="1"/>
  <c r="AB608" i="4"/>
  <c r="AC608" i="4" s="1"/>
  <c r="AB609" i="4"/>
  <c r="AC609" i="4" s="1"/>
  <c r="AB610" i="4"/>
  <c r="AC610" i="4" s="1"/>
  <c r="AB611" i="4"/>
  <c r="AC611" i="4" s="1"/>
  <c r="AB612" i="4"/>
  <c r="AC612" i="4" s="1"/>
  <c r="AB613" i="4"/>
  <c r="AC613" i="4" s="1"/>
  <c r="AB614" i="4"/>
  <c r="AC614" i="4" s="1"/>
  <c r="T544" i="4"/>
  <c r="Z544" i="4" s="1"/>
  <c r="U355" i="6"/>
  <c r="S355" i="6"/>
  <c r="U354" i="6"/>
  <c r="S354" i="6"/>
  <c r="U353" i="6"/>
  <c r="S353" i="6"/>
  <c r="AC578" i="4" l="1"/>
  <c r="AC574" i="4"/>
  <c r="AC583" i="4"/>
  <c r="AC579" i="4"/>
  <c r="AC575" i="4"/>
  <c r="AC571" i="4"/>
  <c r="AC567" i="4"/>
  <c r="AC559" i="4"/>
  <c r="AC555" i="4"/>
  <c r="AC551" i="4"/>
  <c r="AC546" i="4"/>
  <c r="AC563" i="4"/>
  <c r="AC558" i="4"/>
  <c r="AC554" i="4"/>
  <c r="AC585" i="4"/>
  <c r="AC577" i="4"/>
  <c r="AC573" i="4"/>
  <c r="AC569" i="4"/>
  <c r="AC561" i="4"/>
  <c r="AC557" i="4"/>
  <c r="AC553" i="4"/>
  <c r="AB544" i="4"/>
  <c r="AC544" i="4" s="1"/>
  <c r="Z545" i="4"/>
  <c r="AC545" i="4" s="1"/>
  <c r="AC548" i="4"/>
  <c r="AC584" i="4"/>
  <c r="AC580" i="4"/>
  <c r="AC576" i="4"/>
  <c r="AC572" i="4"/>
  <c r="AC568" i="4"/>
  <c r="AC564" i="4"/>
  <c r="AC560" i="4"/>
  <c r="AC556" i="4"/>
  <c r="AC552" i="4"/>
  <c r="AC547" i="4"/>
  <c r="Z550" i="4"/>
  <c r="AC550" i="4" s="1"/>
  <c r="AB534" i="4"/>
  <c r="AB535" i="4"/>
  <c r="AB536" i="4"/>
  <c r="AB537" i="4"/>
  <c r="AB538" i="4"/>
  <c r="AB539" i="4"/>
  <c r="AB540" i="4"/>
  <c r="Z534" i="4"/>
  <c r="Z535" i="4"/>
  <c r="Z536" i="4"/>
  <c r="Z537" i="4"/>
  <c r="Z538" i="4"/>
  <c r="Z539" i="4"/>
  <c r="Z540" i="4"/>
  <c r="Z541" i="4"/>
  <c r="AC541" i="4" s="1"/>
  <c r="Z542" i="4"/>
  <c r="AC542" i="4" s="1"/>
  <c r="U352" i="6"/>
  <c r="U351" i="6"/>
  <c r="U350" i="6"/>
  <c r="U349" i="6"/>
  <c r="U348" i="6"/>
  <c r="U347" i="6"/>
  <c r="U345" i="6"/>
  <c r="U344" i="6"/>
  <c r="U343" i="6"/>
  <c r="U342" i="6"/>
  <c r="U341" i="6"/>
  <c r="U340" i="6"/>
  <c r="U339" i="6"/>
  <c r="U338" i="6"/>
  <c r="U337" i="6"/>
  <c r="U336" i="6"/>
  <c r="U335" i="6"/>
  <c r="U334" i="6"/>
  <c r="U333" i="6"/>
  <c r="U332" i="6"/>
  <c r="U331" i="6"/>
  <c r="U330" i="6"/>
  <c r="U329" i="6"/>
  <c r="U328" i="6"/>
  <c r="U327" i="6"/>
  <c r="U326" i="6"/>
  <c r="S352" i="6"/>
  <c r="S351" i="6"/>
  <c r="AC535" i="4" l="1"/>
  <c r="AC536" i="4"/>
  <c r="AC537" i="4"/>
  <c r="AC540" i="4"/>
  <c r="AC539" i="4"/>
  <c r="AC534" i="4"/>
  <c r="AC538" i="4"/>
  <c r="T527" i="4"/>
  <c r="T525" i="4"/>
  <c r="S350" i="6" l="1"/>
  <c r="S349" i="6"/>
  <c r="V352" i="6"/>
  <c r="V353" i="6"/>
  <c r="V354" i="6"/>
  <c r="V355" i="6"/>
  <c r="V356" i="6"/>
  <c r="V357" i="6"/>
  <c r="V358" i="6"/>
  <c r="V351" i="6"/>
  <c r="S348" i="6"/>
  <c r="V348" i="6" s="1"/>
  <c r="S347" i="6"/>
  <c r="S345" i="6"/>
  <c r="V345" i="6" s="1"/>
  <c r="S344" i="6"/>
  <c r="V344" i="6" s="1"/>
  <c r="S343" i="6"/>
  <c r="V343" i="6" s="1"/>
  <c r="S342" i="6"/>
  <c r="V342" i="6" s="1"/>
  <c r="U325" i="6"/>
  <c r="U324" i="6"/>
  <c r="U323" i="6"/>
  <c r="U322" i="6"/>
  <c r="U321" i="6"/>
  <c r="U320" i="6"/>
  <c r="U319" i="6"/>
  <c r="U318" i="6"/>
  <c r="U317" i="6"/>
  <c r="U316" i="6"/>
  <c r="U315" i="6"/>
  <c r="U314" i="6"/>
  <c r="S341" i="6"/>
  <c r="V341" i="6" s="1"/>
  <c r="V350" i="6" l="1"/>
  <c r="V349" i="6"/>
  <c r="V347" i="6"/>
  <c r="V340" i="6"/>
  <c r="S339" i="6"/>
  <c r="V339" i="6" s="1"/>
  <c r="V338" i="6"/>
  <c r="S337" i="6"/>
  <c r="S336" i="6"/>
  <c r="V336" i="6" s="1"/>
  <c r="S335" i="6"/>
  <c r="T508" i="4"/>
  <c r="T507" i="4"/>
  <c r="T506" i="4"/>
  <c r="T505" i="4"/>
  <c r="T502" i="4"/>
  <c r="V335" i="6" l="1"/>
  <c r="V337" i="6"/>
  <c r="T498" i="4"/>
  <c r="T491" i="4"/>
  <c r="T484" i="4" l="1"/>
  <c r="T480" i="4"/>
  <c r="T478" i="4"/>
  <c r="T463" i="4" l="1"/>
  <c r="S324" i="6" l="1"/>
  <c r="T461" i="4" l="1"/>
  <c r="Z461" i="4" s="1"/>
  <c r="AB451" i="4"/>
  <c r="AB452" i="4"/>
  <c r="AB453" i="4"/>
  <c r="AB454" i="4"/>
  <c r="AB455" i="4"/>
  <c r="AB456" i="4"/>
  <c r="AB457" i="4"/>
  <c r="AB458" i="4"/>
  <c r="AB459" i="4"/>
  <c r="AB460" i="4"/>
  <c r="AB462" i="4"/>
  <c r="AB463" i="4"/>
  <c r="AB464" i="4"/>
  <c r="AB465" i="4"/>
  <c r="AB466" i="4"/>
  <c r="AB467" i="4"/>
  <c r="AB468" i="4"/>
  <c r="AB469" i="4"/>
  <c r="AB470" i="4"/>
  <c r="AB471" i="4"/>
  <c r="AB472" i="4"/>
  <c r="AB473" i="4"/>
  <c r="AB474" i="4"/>
  <c r="AB475" i="4"/>
  <c r="AB476" i="4"/>
  <c r="AB477" i="4"/>
  <c r="AB478" i="4"/>
  <c r="AB479" i="4"/>
  <c r="AB480" i="4"/>
  <c r="AB481" i="4"/>
  <c r="AB482" i="4"/>
  <c r="AB483" i="4"/>
  <c r="AB484" i="4"/>
  <c r="AB485" i="4"/>
  <c r="AB486" i="4"/>
  <c r="AB487" i="4"/>
  <c r="AB488" i="4"/>
  <c r="AB489" i="4"/>
  <c r="AB490" i="4"/>
  <c r="AB491" i="4"/>
  <c r="AB492" i="4"/>
  <c r="AB493" i="4"/>
  <c r="AB494" i="4"/>
  <c r="AB495" i="4"/>
  <c r="AB496" i="4"/>
  <c r="AB497" i="4"/>
  <c r="AB498" i="4"/>
  <c r="AB499" i="4"/>
  <c r="AB500" i="4"/>
  <c r="AB501" i="4"/>
  <c r="AB502" i="4"/>
  <c r="AB503" i="4"/>
  <c r="AB504" i="4"/>
  <c r="AB505" i="4"/>
  <c r="AB506" i="4"/>
  <c r="AB507" i="4"/>
  <c r="AB508" i="4"/>
  <c r="AB509" i="4"/>
  <c r="AB510" i="4"/>
  <c r="AB511" i="4"/>
  <c r="AB512" i="4"/>
  <c r="AB513" i="4"/>
  <c r="AB514" i="4"/>
  <c r="AB515" i="4"/>
  <c r="AB516" i="4"/>
  <c r="AB517" i="4"/>
  <c r="AB518" i="4"/>
  <c r="AB519" i="4"/>
  <c r="AB520" i="4"/>
  <c r="AB521" i="4"/>
  <c r="AB522" i="4"/>
  <c r="AB523" i="4"/>
  <c r="AB524" i="4"/>
  <c r="AB525" i="4"/>
  <c r="AB526" i="4"/>
  <c r="AB527" i="4"/>
  <c r="AB528" i="4"/>
  <c r="AB529" i="4"/>
  <c r="AB530" i="4"/>
  <c r="AB531" i="4"/>
  <c r="AB532" i="4"/>
  <c r="AB533" i="4"/>
  <c r="Z451" i="4"/>
  <c r="Z452" i="4"/>
  <c r="Z453" i="4"/>
  <c r="Z454" i="4"/>
  <c r="Z455" i="4"/>
  <c r="Z456" i="4"/>
  <c r="Z457" i="4"/>
  <c r="Z458" i="4"/>
  <c r="Z459" i="4"/>
  <c r="Z460"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Z499" i="4"/>
  <c r="Z500" i="4"/>
  <c r="Z501" i="4"/>
  <c r="Z502" i="4"/>
  <c r="Z503" i="4"/>
  <c r="Z504" i="4"/>
  <c r="Z505" i="4"/>
  <c r="Z506" i="4"/>
  <c r="Z507" i="4"/>
  <c r="Z508" i="4"/>
  <c r="Z509" i="4"/>
  <c r="Z510" i="4"/>
  <c r="Z511" i="4"/>
  <c r="Z512" i="4"/>
  <c r="Z513" i="4"/>
  <c r="Z514" i="4"/>
  <c r="Z515" i="4"/>
  <c r="Z516" i="4"/>
  <c r="Z517" i="4"/>
  <c r="Z518" i="4"/>
  <c r="Z519" i="4"/>
  <c r="Z520" i="4"/>
  <c r="Z521" i="4"/>
  <c r="Z522" i="4"/>
  <c r="Z523" i="4"/>
  <c r="Z524" i="4"/>
  <c r="Z525" i="4"/>
  <c r="Z526" i="4"/>
  <c r="Z527" i="4"/>
  <c r="Z528" i="4"/>
  <c r="Z529" i="4"/>
  <c r="Z530" i="4"/>
  <c r="Z531" i="4"/>
  <c r="Z532" i="4"/>
  <c r="Z533" i="4"/>
  <c r="T449" i="4"/>
  <c r="AC470" i="4" l="1"/>
  <c r="AC459" i="4"/>
  <c r="AC451" i="4"/>
  <c r="AC531" i="4"/>
  <c r="AC527" i="4"/>
  <c r="AC523" i="4"/>
  <c r="AC519" i="4"/>
  <c r="AC515" i="4"/>
  <c r="AC511" i="4"/>
  <c r="AC507" i="4"/>
  <c r="AC503" i="4"/>
  <c r="AC499" i="4"/>
  <c r="AC495" i="4"/>
  <c r="AC491" i="4"/>
  <c r="AC487" i="4"/>
  <c r="AC483" i="4"/>
  <c r="AC479" i="4"/>
  <c r="AC475" i="4"/>
  <c r="AC471" i="4"/>
  <c r="AC467" i="4"/>
  <c r="AC463" i="4"/>
  <c r="AC526" i="4"/>
  <c r="AC518" i="4"/>
  <c r="AC510" i="4"/>
  <c r="AC502" i="4"/>
  <c r="AC494" i="4"/>
  <c r="AC486" i="4"/>
  <c r="AC478" i="4"/>
  <c r="AB461" i="4"/>
  <c r="AC461" i="4" s="1"/>
  <c r="AC529" i="4"/>
  <c r="AC521" i="4"/>
  <c r="AC513" i="4"/>
  <c r="AC505" i="4"/>
  <c r="AC497" i="4"/>
  <c r="AC489" i="4"/>
  <c r="AC481" i="4"/>
  <c r="AC473" i="4"/>
  <c r="AC465" i="4"/>
  <c r="AC530" i="4"/>
  <c r="AC522" i="4"/>
  <c r="AC514" i="4"/>
  <c r="AC506" i="4"/>
  <c r="AC498" i="4"/>
  <c r="AC490" i="4"/>
  <c r="AC482" i="4"/>
  <c r="AC474" i="4"/>
  <c r="AC466" i="4"/>
  <c r="AC454" i="4"/>
  <c r="AC533" i="4"/>
  <c r="AC525" i="4"/>
  <c r="AC517" i="4"/>
  <c r="AC509" i="4"/>
  <c r="AC501" i="4"/>
  <c r="AC493" i="4"/>
  <c r="AC485" i="4"/>
  <c r="AC477" i="4"/>
  <c r="AC469" i="4"/>
  <c r="AC528" i="4"/>
  <c r="AC520" i="4"/>
  <c r="AC512" i="4"/>
  <c r="AC504" i="4"/>
  <c r="AC496" i="4"/>
  <c r="AC488" i="4"/>
  <c r="AC480" i="4"/>
  <c r="AC472" i="4"/>
  <c r="AC464" i="4"/>
  <c r="AC456" i="4"/>
  <c r="AC458" i="4"/>
  <c r="AC532" i="4"/>
  <c r="AC524" i="4"/>
  <c r="AC516" i="4"/>
  <c r="AC508" i="4"/>
  <c r="AC500" i="4"/>
  <c r="AC492" i="4"/>
  <c r="AC484" i="4"/>
  <c r="AC476" i="4"/>
  <c r="AC468" i="4"/>
  <c r="AC460" i="4"/>
  <c r="AC452" i="4"/>
  <c r="AC453" i="4"/>
  <c r="AC455" i="4"/>
  <c r="AC462" i="4"/>
  <c r="AC457" i="4"/>
  <c r="T445" i="4"/>
  <c r="T441" i="4"/>
  <c r="T396" i="4" l="1"/>
  <c r="T437" i="4"/>
  <c r="S331" i="6" l="1"/>
  <c r="S326" i="6"/>
  <c r="Z441" i="4" l="1"/>
  <c r="Z442" i="4"/>
  <c r="Z443" i="4"/>
  <c r="Z444" i="4"/>
  <c r="Z445" i="4"/>
  <c r="Z446" i="4"/>
  <c r="Z447" i="4"/>
  <c r="Z448" i="4"/>
  <c r="Z449" i="4"/>
  <c r="Z450" i="4"/>
  <c r="AB433" i="4"/>
  <c r="AB434" i="4"/>
  <c r="AB435" i="4"/>
  <c r="AB436" i="4"/>
  <c r="AB437" i="4"/>
  <c r="AB438" i="4"/>
  <c r="AB439" i="4"/>
  <c r="AB440" i="4"/>
  <c r="AB441" i="4"/>
  <c r="AB442" i="4"/>
  <c r="AB443" i="4"/>
  <c r="AB444" i="4"/>
  <c r="AB445" i="4"/>
  <c r="AB446" i="4"/>
  <c r="AB447" i="4"/>
  <c r="AB448" i="4"/>
  <c r="AB449" i="4"/>
  <c r="AB450" i="4"/>
  <c r="AC441" i="4" l="1"/>
  <c r="AC448" i="4"/>
  <c r="AC444" i="4"/>
  <c r="AC447" i="4"/>
  <c r="AC443" i="4"/>
  <c r="AC450" i="4"/>
  <c r="AC446" i="4"/>
  <c r="AC442" i="4"/>
  <c r="AC449" i="4"/>
  <c r="AC445" i="4"/>
  <c r="AB427" i="4"/>
  <c r="AB421" i="4" l="1"/>
  <c r="AB423" i="4"/>
  <c r="AB424" i="4"/>
  <c r="AB425" i="4"/>
  <c r="AB426" i="4"/>
  <c r="AB428" i="4"/>
  <c r="AB429" i="4"/>
  <c r="AB430" i="4"/>
  <c r="AB431" i="4"/>
  <c r="AB432" i="4"/>
  <c r="Z421" i="4"/>
  <c r="Z423" i="4"/>
  <c r="Z424" i="4"/>
  <c r="Z425" i="4"/>
  <c r="Z426" i="4"/>
  <c r="Z427" i="4"/>
  <c r="Z428" i="4"/>
  <c r="Z429" i="4"/>
  <c r="Z430" i="4"/>
  <c r="Z431" i="4"/>
  <c r="Z432" i="4"/>
  <c r="Z433" i="4"/>
  <c r="AC433" i="4" s="1"/>
  <c r="Z434" i="4"/>
  <c r="AC434" i="4" s="1"/>
  <c r="Z435" i="4"/>
  <c r="AC435" i="4" s="1"/>
  <c r="Z436" i="4"/>
  <c r="AC436" i="4" s="1"/>
  <c r="Z437" i="4"/>
  <c r="AC437" i="4" s="1"/>
  <c r="Z438" i="4"/>
  <c r="AC438" i="4" s="1"/>
  <c r="Z439" i="4"/>
  <c r="AC439" i="4" s="1"/>
  <c r="Z440" i="4"/>
  <c r="AC440" i="4" s="1"/>
  <c r="T422" i="4"/>
  <c r="AB422" i="4" s="1"/>
  <c r="T419" i="4"/>
  <c r="T416" i="4"/>
  <c r="T415" i="4"/>
  <c r="AC421" i="4" l="1"/>
  <c r="AC432" i="4"/>
  <c r="AC431" i="4"/>
  <c r="AC429" i="4"/>
  <c r="AC425" i="4"/>
  <c r="AC424" i="4"/>
  <c r="Z422" i="4"/>
  <c r="AC422" i="4" s="1"/>
  <c r="AC428" i="4"/>
  <c r="AC427" i="4"/>
  <c r="AC426" i="4"/>
  <c r="AC423" i="4"/>
  <c r="AC430" i="4"/>
  <c r="S322" i="6"/>
  <c r="T385" i="4" l="1"/>
  <c r="Z413" i="4" l="1"/>
  <c r="Z414" i="4"/>
  <c r="Z415" i="4"/>
  <c r="Z416" i="4"/>
  <c r="Z417" i="4"/>
  <c r="Z418" i="4"/>
  <c r="Z419" i="4"/>
  <c r="Z420" i="4"/>
  <c r="AB413" i="4"/>
  <c r="AB414" i="4"/>
  <c r="AB415" i="4"/>
  <c r="AB416" i="4"/>
  <c r="AC416" i="4" s="1"/>
  <c r="AB417" i="4"/>
  <c r="AB418" i="4"/>
  <c r="AB419" i="4"/>
  <c r="AB420" i="4"/>
  <c r="T412" i="4"/>
  <c r="AB412" i="4" s="1"/>
  <c r="AC420" i="4" l="1"/>
  <c r="AC418" i="4"/>
  <c r="AC414" i="4"/>
  <c r="Z412" i="4"/>
  <c r="AC412" i="4" s="1"/>
  <c r="AC419" i="4"/>
  <c r="AC415" i="4"/>
  <c r="AC417" i="4"/>
  <c r="AC413" i="4"/>
  <c r="T411" i="4"/>
  <c r="T410" i="4" l="1"/>
  <c r="T409" i="4"/>
  <c r="S298" i="6"/>
  <c r="S320" i="6" l="1"/>
  <c r="T408" i="4" l="1"/>
  <c r="S300" i="6"/>
  <c r="S325" i="6" l="1"/>
  <c r="S327" i="6"/>
  <c r="S328" i="6"/>
  <c r="S329" i="6"/>
  <c r="S332" i="6"/>
  <c r="S333" i="6"/>
  <c r="S334" i="6"/>
  <c r="T407" i="4"/>
  <c r="Z407" i="4" s="1"/>
  <c r="T406" i="4"/>
  <c r="Z406" i="4" s="1"/>
  <c r="T405" i="4"/>
  <c r="AB405" i="4" s="1"/>
  <c r="T404" i="4"/>
  <c r="Z404" i="4" s="1"/>
  <c r="T403" i="4"/>
  <c r="Z403" i="4" s="1"/>
  <c r="Z411" i="4"/>
  <c r="AB408" i="4"/>
  <c r="AB409" i="4"/>
  <c r="AB410" i="4"/>
  <c r="AB411" i="4"/>
  <c r="Z408" i="4"/>
  <c r="Z409" i="4"/>
  <c r="Z410" i="4"/>
  <c r="T402" i="4"/>
  <c r="T401" i="4"/>
  <c r="AB406" i="4" l="1"/>
  <c r="V333" i="6"/>
  <c r="V325" i="6"/>
  <c r="V329" i="6"/>
  <c r="V332" i="6"/>
  <c r="V328" i="6"/>
  <c r="V324" i="6"/>
  <c r="V331" i="6"/>
  <c r="V327" i="6"/>
  <c r="V323" i="6"/>
  <c r="V334" i="6"/>
  <c r="V330" i="6"/>
  <c r="V326" i="6"/>
  <c r="V322" i="6"/>
  <c r="AC409" i="4"/>
  <c r="AC410" i="4"/>
  <c r="Z405" i="4"/>
  <c r="AC405" i="4" s="1"/>
  <c r="AC408" i="4"/>
  <c r="AB407" i="4"/>
  <c r="AC407" i="4" s="1"/>
  <c r="AC411" i="4"/>
  <c r="AC406" i="4"/>
  <c r="T400" i="4"/>
  <c r="V321" i="6"/>
  <c r="T399" i="4"/>
  <c r="T398" i="4"/>
  <c r="T397" i="4"/>
  <c r="S316" i="6" l="1"/>
  <c r="S317" i="6"/>
  <c r="S319" i="6"/>
  <c r="Z396" i="4"/>
  <c r="Z397" i="4"/>
  <c r="Z398" i="4"/>
  <c r="Z399" i="4"/>
  <c r="Z400" i="4"/>
  <c r="Z401" i="4"/>
  <c r="Z402" i="4"/>
  <c r="AB397" i="4"/>
  <c r="AB398" i="4"/>
  <c r="AB399" i="4"/>
  <c r="AB400" i="4"/>
  <c r="AB401" i="4"/>
  <c r="AB402" i="4"/>
  <c r="AB403" i="4"/>
  <c r="AC403" i="4" s="1"/>
  <c r="AB404" i="4"/>
  <c r="AC404" i="4" s="1"/>
  <c r="T395" i="4"/>
  <c r="AB395" i="4" s="1"/>
  <c r="T394" i="4"/>
  <c r="T393" i="4"/>
  <c r="T392" i="4"/>
  <c r="T391" i="4"/>
  <c r="T390" i="4"/>
  <c r="AC400" i="4" l="1"/>
  <c r="AB396" i="4"/>
  <c r="AC396" i="4" s="1"/>
  <c r="AC402" i="4"/>
  <c r="AC398" i="4"/>
  <c r="AC399" i="4"/>
  <c r="AC401" i="4"/>
  <c r="Z395" i="4"/>
  <c r="AC395" i="4" s="1"/>
  <c r="AC397" i="4"/>
  <c r="S315" i="6"/>
  <c r="S314" i="6"/>
  <c r="V320" i="6" l="1"/>
  <c r="V314" i="6"/>
  <c r="V315" i="6"/>
  <c r="V316" i="6"/>
  <c r="V317" i="6"/>
  <c r="V318" i="6"/>
  <c r="V319" i="6"/>
  <c r="U313" i="6"/>
  <c r="V313" i="6" s="1"/>
  <c r="U312" i="6"/>
  <c r="S312" i="6"/>
  <c r="U311" i="6"/>
  <c r="S311" i="6"/>
  <c r="U310" i="6"/>
  <c r="S310" i="6"/>
  <c r="U309" i="6"/>
  <c r="S309" i="6"/>
  <c r="U308" i="6"/>
  <c r="S308" i="6"/>
  <c r="V311" i="6" l="1"/>
  <c r="V310" i="6"/>
  <c r="V312" i="6"/>
  <c r="V308" i="6"/>
  <c r="V309" i="6"/>
  <c r="S61" i="5"/>
  <c r="S62" i="5"/>
  <c r="S63" i="5"/>
  <c r="T63" i="5" s="1"/>
  <c r="S64" i="5"/>
  <c r="S65" i="5"/>
  <c r="S66" i="5"/>
  <c r="S67" i="5"/>
  <c r="T67" i="5" s="1"/>
  <c r="S68" i="5"/>
  <c r="S69" i="5"/>
  <c r="S70" i="5"/>
  <c r="S71" i="5"/>
  <c r="T71" i="5" s="1"/>
  <c r="S72" i="5"/>
  <c r="S73" i="5"/>
  <c r="R61" i="5"/>
  <c r="R62" i="5"/>
  <c r="R63" i="5"/>
  <c r="R64" i="5"/>
  <c r="R67" i="5"/>
  <c r="R68" i="5"/>
  <c r="R69" i="5"/>
  <c r="R70" i="5"/>
  <c r="R71" i="5"/>
  <c r="R72" i="5"/>
  <c r="R73" i="5"/>
  <c r="R74" i="5"/>
  <c r="T74" i="5" s="1"/>
  <c r="R75" i="5"/>
  <c r="T75" i="5" s="1"/>
  <c r="R76" i="5"/>
  <c r="R77" i="5"/>
  <c r="T389" i="4"/>
  <c r="T388" i="4"/>
  <c r="T387" i="4"/>
  <c r="T386" i="4"/>
  <c r="T66" i="5" l="1"/>
  <c r="T73" i="5"/>
  <c r="T69" i="5"/>
  <c r="T65" i="5"/>
  <c r="T70" i="5"/>
  <c r="T72" i="5"/>
  <c r="T68" i="5"/>
  <c r="T64" i="5"/>
  <c r="T384" i="4"/>
  <c r="R59" i="5" l="1"/>
  <c r="T59" i="5"/>
  <c r="T61" i="5"/>
  <c r="T62" i="5"/>
  <c r="S57" i="5"/>
  <c r="S58" i="5"/>
  <c r="T58" i="5" s="1"/>
  <c r="S59" i="5"/>
  <c r="S60" i="5"/>
  <c r="R58" i="5"/>
  <c r="T383" i="4"/>
  <c r="T382" i="4" l="1"/>
  <c r="S55" i="5" l="1"/>
  <c r="S56" i="5"/>
  <c r="T381" i="4"/>
  <c r="AB381" i="4" s="1"/>
  <c r="T380" i="4"/>
  <c r="AB380" i="4" s="1"/>
  <c r="T379" i="4"/>
  <c r="AB379" i="4" s="1"/>
  <c r="T378" i="4"/>
  <c r="Z378" i="4" s="1"/>
  <c r="AB382" i="4"/>
  <c r="AB383" i="4"/>
  <c r="AB384" i="4"/>
  <c r="AB385" i="4"/>
  <c r="AB386" i="4"/>
  <c r="AB387" i="4"/>
  <c r="AB388" i="4"/>
  <c r="AB389" i="4"/>
  <c r="AB390" i="4"/>
  <c r="AB391" i="4"/>
  <c r="AB392" i="4"/>
  <c r="AB393" i="4"/>
  <c r="AB394" i="4"/>
  <c r="Z382" i="4"/>
  <c r="Z383" i="4"/>
  <c r="Z384" i="4"/>
  <c r="Z385" i="4"/>
  <c r="Z386" i="4"/>
  <c r="Z387" i="4"/>
  <c r="Z388" i="4"/>
  <c r="Z389" i="4"/>
  <c r="Z390" i="4"/>
  <c r="Z391" i="4"/>
  <c r="Z392" i="4"/>
  <c r="Z393" i="4"/>
  <c r="Z394" i="4"/>
  <c r="T377" i="4"/>
  <c r="Z377" i="4" s="1"/>
  <c r="T376" i="4"/>
  <c r="Z376" i="4" s="1"/>
  <c r="T375" i="4"/>
  <c r="AB375" i="4" s="1"/>
  <c r="T374" i="4"/>
  <c r="Z374" i="4" s="1"/>
  <c r="T373" i="4"/>
  <c r="AB373" i="4" s="1"/>
  <c r="T372" i="4"/>
  <c r="Z372" i="4" s="1"/>
  <c r="T371" i="4"/>
  <c r="AB371" i="4" s="1"/>
  <c r="T370" i="4"/>
  <c r="Z370" i="4" s="1"/>
  <c r="T369" i="4"/>
  <c r="Z369" i="4" s="1"/>
  <c r="T368" i="4"/>
  <c r="T367" i="4"/>
  <c r="U307" i="6"/>
  <c r="S307" i="6"/>
  <c r="U306" i="6"/>
  <c r="S306" i="6"/>
  <c r="U305" i="6"/>
  <c r="S305" i="6"/>
  <c r="S303" i="6"/>
  <c r="Z380" i="4" l="1"/>
  <c r="Z381" i="4"/>
  <c r="AC381" i="4" s="1"/>
  <c r="AC392" i="4"/>
  <c r="AC388" i="4"/>
  <c r="AC391" i="4"/>
  <c r="AC387" i="4"/>
  <c r="AC384" i="4"/>
  <c r="V306" i="6"/>
  <c r="AB374" i="4"/>
  <c r="AC374" i="4" s="1"/>
  <c r="AB376" i="4"/>
  <c r="AC376" i="4" s="1"/>
  <c r="V307" i="6"/>
  <c r="AC383" i="4"/>
  <c r="AB378" i="4"/>
  <c r="AC378" i="4" s="1"/>
  <c r="AC394" i="4"/>
  <c r="AC390" i="4"/>
  <c r="AC386" i="4"/>
  <c r="AC382" i="4"/>
  <c r="AB372" i="4"/>
  <c r="AC372" i="4" s="1"/>
  <c r="AC393" i="4"/>
  <c r="AC389" i="4"/>
  <c r="AC385" i="4"/>
  <c r="AB377" i="4"/>
  <c r="AC377" i="4" s="1"/>
  <c r="Z373" i="4"/>
  <c r="AC373" i="4" s="1"/>
  <c r="AC380" i="4"/>
  <c r="Z379" i="4"/>
  <c r="AC379" i="4" s="1"/>
  <c r="Z375" i="4"/>
  <c r="AC375" i="4" s="1"/>
  <c r="Z371" i="4"/>
  <c r="AC371" i="4" s="1"/>
  <c r="V305" i="6"/>
  <c r="S123" i="6"/>
  <c r="S153" i="6" l="1"/>
  <c r="S180" i="6"/>
  <c r="S156" i="6"/>
  <c r="S277" i="6" l="1"/>
  <c r="S263" i="6" l="1"/>
  <c r="U304" i="6" l="1"/>
  <c r="S304" i="6"/>
  <c r="U303" i="6"/>
  <c r="U302" i="6"/>
  <c r="V302" i="6" s="1"/>
  <c r="V303" i="6" l="1"/>
  <c r="V304" i="6"/>
  <c r="T366" i="4"/>
  <c r="AB366" i="4" s="1"/>
  <c r="T365" i="4"/>
  <c r="AB365" i="4" s="1"/>
  <c r="T364" i="4"/>
  <c r="AB364" i="4" s="1"/>
  <c r="T363" i="4"/>
  <c r="Z363" i="4" s="1"/>
  <c r="T362" i="4"/>
  <c r="AB362" i="4" s="1"/>
  <c r="AB367" i="4"/>
  <c r="AB368" i="4"/>
  <c r="AB369" i="4"/>
  <c r="AC369" i="4" s="1"/>
  <c r="AB370" i="4"/>
  <c r="AC370" i="4" s="1"/>
  <c r="Z367" i="4"/>
  <c r="Z368" i="4"/>
  <c r="T361" i="4"/>
  <c r="AB361" i="4" s="1"/>
  <c r="T358" i="4"/>
  <c r="Z358" i="4" s="1"/>
  <c r="T360" i="4"/>
  <c r="Z360" i="4" s="1"/>
  <c r="T359" i="4"/>
  <c r="Z359" i="4" s="1"/>
  <c r="U301" i="6"/>
  <c r="V301" i="6" s="1"/>
  <c r="U300" i="6"/>
  <c r="U299" i="6"/>
  <c r="S299" i="6"/>
  <c r="U298" i="6"/>
  <c r="S257" i="6"/>
  <c r="U297" i="6"/>
  <c r="V297" i="6" s="1"/>
  <c r="U296" i="6"/>
  <c r="S296" i="6"/>
  <c r="Z362" i="4" l="1"/>
  <c r="AC362" i="4" s="1"/>
  <c r="Z366" i="4"/>
  <c r="AC366" i="4" s="1"/>
  <c r="AC368" i="4"/>
  <c r="V299" i="6"/>
  <c r="V300" i="6"/>
  <c r="V298" i="6"/>
  <c r="V296" i="6"/>
  <c r="AC367" i="4"/>
  <c r="AB363" i="4"/>
  <c r="AC363" i="4" s="1"/>
  <c r="AB359" i="4"/>
  <c r="AC359" i="4" s="1"/>
  <c r="Z361" i="4"/>
  <c r="AC361" i="4" s="1"/>
  <c r="AB360" i="4"/>
  <c r="AC360" i="4" s="1"/>
  <c r="Z364" i="4"/>
  <c r="AC364" i="4" s="1"/>
  <c r="Z365" i="4"/>
  <c r="AC365" i="4" s="1"/>
  <c r="AB358" i="4"/>
  <c r="AC358" i="4" s="1"/>
  <c r="U295" i="6"/>
  <c r="V295" i="6" s="1"/>
  <c r="S278" i="6" l="1"/>
  <c r="AA48" i="2" l="1"/>
  <c r="T357" i="4" l="1"/>
  <c r="AB357" i="4" s="1"/>
  <c r="T356" i="4"/>
  <c r="Z356" i="4" s="1"/>
  <c r="T355" i="4"/>
  <c r="Z355" i="4" s="1"/>
  <c r="T354" i="4"/>
  <c r="AB354" i="4" s="1"/>
  <c r="T353" i="4"/>
  <c r="AB353" i="4" s="1"/>
  <c r="T352" i="4"/>
  <c r="Z352" i="4" s="1"/>
  <c r="T351" i="4"/>
  <c r="AB351" i="4" s="1"/>
  <c r="AB41" i="2"/>
  <c r="S248" i="6"/>
  <c r="Z351" i="4" l="1"/>
  <c r="AC351" i="4" s="1"/>
  <c r="Z353" i="4"/>
  <c r="AC353" i="4" s="1"/>
  <c r="Z354" i="4"/>
  <c r="AC354" i="4" s="1"/>
  <c r="Z357" i="4"/>
  <c r="AC357" i="4" s="1"/>
  <c r="AB352" i="4"/>
  <c r="AC352" i="4" s="1"/>
  <c r="AB355" i="4"/>
  <c r="AC355" i="4" s="1"/>
  <c r="AB356" i="4"/>
  <c r="AC356" i="4" s="1"/>
  <c r="U294" i="6"/>
  <c r="S294" i="6"/>
  <c r="U293" i="6"/>
  <c r="V293" i="6" s="1"/>
  <c r="V294" i="6" l="1"/>
  <c r="T350" i="4"/>
  <c r="AB350" i="4" s="1"/>
  <c r="T349" i="4"/>
  <c r="AB349" i="4" s="1"/>
  <c r="AC349" i="4" s="1"/>
  <c r="T348" i="4"/>
  <c r="AB348" i="4" s="1"/>
  <c r="AC348" i="4" s="1"/>
  <c r="Z350" i="4" l="1"/>
  <c r="AC350" i="4" s="1"/>
  <c r="T347" i="4"/>
  <c r="AB347" i="4" s="1"/>
  <c r="T346" i="4"/>
  <c r="Z346" i="4" s="1"/>
  <c r="T345" i="4"/>
  <c r="Z345" i="4" s="1"/>
  <c r="T344" i="4"/>
  <c r="Z344" i="4" s="1"/>
  <c r="U292" i="6"/>
  <c r="S292" i="6"/>
  <c r="V292" i="6" l="1"/>
  <c r="Z347" i="4"/>
  <c r="AC347" i="4" s="1"/>
  <c r="T343" i="4"/>
  <c r="Z343" i="4" s="1"/>
  <c r="Z342" i="4"/>
  <c r="T341" i="4"/>
  <c r="AB341" i="4" s="1"/>
  <c r="AC341" i="4" s="1"/>
  <c r="T340" i="4"/>
  <c r="AB340" i="4" s="1"/>
  <c r="AC340" i="4" s="1"/>
  <c r="AB342" i="4"/>
  <c r="AB344" i="4"/>
  <c r="AC344" i="4" s="1"/>
  <c r="AB345" i="4"/>
  <c r="AC345" i="4" s="1"/>
  <c r="AB346" i="4"/>
  <c r="AC346" i="4" s="1"/>
  <c r="T339" i="4"/>
  <c r="AB339" i="4" s="1"/>
  <c r="AC339" i="4" s="1"/>
  <c r="U291" i="6"/>
  <c r="S291" i="6"/>
  <c r="AB343" i="4" l="1"/>
  <c r="AC343" i="4" s="1"/>
  <c r="V291" i="6"/>
  <c r="AC342" i="4"/>
  <c r="T338" i="4" l="1"/>
  <c r="T337" i="4"/>
  <c r="U290" i="6"/>
  <c r="S290" i="6"/>
  <c r="U289" i="6"/>
  <c r="S289" i="6"/>
  <c r="T289" i="6" s="1"/>
  <c r="U288" i="6"/>
  <c r="S288" i="6"/>
  <c r="U286" i="6"/>
  <c r="U287" i="6"/>
  <c r="S286" i="6"/>
  <c r="S287" i="6"/>
  <c r="U285" i="6"/>
  <c r="V285" i="6" s="1"/>
  <c r="S285" i="6"/>
  <c r="U282" i="6"/>
  <c r="U284" i="6"/>
  <c r="S284" i="6"/>
  <c r="S283" i="6"/>
  <c r="S282" i="6"/>
  <c r="S274" i="6"/>
  <c r="S273" i="6"/>
  <c r="V288" i="6" l="1"/>
  <c r="V287" i="6"/>
  <c r="V284" i="6"/>
  <c r="V290" i="6"/>
  <c r="V289" i="6"/>
  <c r="V286" i="6"/>
  <c r="S256" i="6"/>
  <c r="S253" i="6" l="1"/>
  <c r="S54" i="5"/>
  <c r="R54" i="5"/>
  <c r="T53" i="5"/>
  <c r="S53" i="5"/>
  <c r="R53" i="5"/>
  <c r="AB338" i="4"/>
  <c r="AB337" i="4"/>
  <c r="Z337" i="4"/>
  <c r="Z338" i="4"/>
  <c r="T336" i="4"/>
  <c r="AB336" i="4" s="1"/>
  <c r="T335" i="4"/>
  <c r="T334" i="4"/>
  <c r="T333" i="4"/>
  <c r="AC337" i="4" l="1"/>
  <c r="AC338" i="4"/>
  <c r="T54" i="5"/>
  <c r="Z336" i="4"/>
  <c r="AC336" i="4" s="1"/>
  <c r="T332" i="4" l="1"/>
  <c r="T331" i="4"/>
  <c r="T329" i="4" l="1"/>
  <c r="Z329" i="4" s="1"/>
  <c r="T330" i="4"/>
  <c r="U281" i="6"/>
  <c r="S281" i="6"/>
  <c r="U280" i="6"/>
  <c r="V282" i="6"/>
  <c r="U283" i="6"/>
  <c r="V283" i="6" s="1"/>
  <c r="S280" i="6"/>
  <c r="U278" i="6"/>
  <c r="U279" i="6"/>
  <c r="V279" i="6" s="1"/>
  <c r="V278" i="6" l="1"/>
  <c r="V281" i="6"/>
  <c r="V280" i="6"/>
  <c r="T328" i="4"/>
  <c r="U277" i="6"/>
  <c r="U276" i="6"/>
  <c r="V276" i="6" s="1"/>
  <c r="V277" i="6" l="1"/>
  <c r="U275" i="6"/>
  <c r="S275" i="6"/>
  <c r="T327" i="4"/>
  <c r="T326" i="4"/>
  <c r="Z326" i="4" s="1"/>
  <c r="U274" i="6"/>
  <c r="U273" i="6"/>
  <c r="U272" i="6"/>
  <c r="S272" i="6"/>
  <c r="V274" i="6" l="1"/>
  <c r="V275" i="6"/>
  <c r="V272" i="6"/>
  <c r="V273" i="6"/>
  <c r="U271" i="6"/>
  <c r="S271" i="6"/>
  <c r="AB326" i="4"/>
  <c r="AC326" i="4" s="1"/>
  <c r="AB327" i="4"/>
  <c r="AB328" i="4"/>
  <c r="AB329" i="4"/>
  <c r="AC329" i="4" s="1"/>
  <c r="AB330" i="4"/>
  <c r="AB331" i="4"/>
  <c r="AB332" i="4"/>
  <c r="AB333" i="4"/>
  <c r="AB334" i="4"/>
  <c r="AB335" i="4"/>
  <c r="Z327" i="4"/>
  <c r="Z328" i="4"/>
  <c r="Z330" i="4"/>
  <c r="Z331" i="4"/>
  <c r="Z332" i="4"/>
  <c r="Z333" i="4"/>
  <c r="Z334" i="4"/>
  <c r="Z335" i="4"/>
  <c r="T325" i="4"/>
  <c r="AC327" i="4" l="1"/>
  <c r="AC328" i="4"/>
  <c r="AC335" i="4"/>
  <c r="AC333" i="4"/>
  <c r="AC332" i="4"/>
  <c r="AC331" i="4"/>
  <c r="V271" i="6"/>
  <c r="AC334" i="4"/>
  <c r="AC330" i="4"/>
  <c r="T324" i="4"/>
  <c r="U270" i="6"/>
  <c r="S270" i="6"/>
  <c r="V270" i="6" l="1"/>
  <c r="T323" i="4"/>
  <c r="T322" i="4"/>
  <c r="T321" i="4"/>
  <c r="T320" i="4"/>
  <c r="T319" i="4"/>
  <c r="T318" i="4"/>
  <c r="U269" i="6"/>
  <c r="S269" i="6"/>
  <c r="T269" i="6" s="1"/>
  <c r="S258" i="6"/>
  <c r="S259" i="6"/>
  <c r="X259" i="6" s="1"/>
  <c r="S261" i="6"/>
  <c r="S262" i="6"/>
  <c r="S264" i="6"/>
  <c r="S265" i="6"/>
  <c r="S266" i="6"/>
  <c r="S267" i="6"/>
  <c r="S268" i="6"/>
  <c r="U268" i="6"/>
  <c r="V269" i="6" l="1"/>
  <c r="V268" i="6"/>
  <c r="S251" i="6"/>
  <c r="T251" i="6" s="1"/>
  <c r="U267" i="6" l="1"/>
  <c r="T317" i="4"/>
  <c r="AB317" i="4" l="1"/>
  <c r="Z317" i="4"/>
  <c r="V267" i="6"/>
  <c r="AC317" i="4" l="1"/>
  <c r="S96" i="6"/>
  <c r="T96" i="6" s="1"/>
  <c r="T257" i="6"/>
  <c r="T316" i="4" l="1"/>
  <c r="T315" i="4"/>
  <c r="X257" i="6" l="1"/>
  <c r="X249" i="6"/>
  <c r="X246" i="6"/>
  <c r="X244" i="6"/>
  <c r="X236" i="6"/>
  <c r="X230" i="6"/>
  <c r="X234" i="6"/>
  <c r="X232" i="6"/>
  <c r="X231" i="6"/>
  <c r="S52" i="5" l="1"/>
  <c r="R52" i="5"/>
  <c r="R55" i="5"/>
  <c r="T55" i="5" s="1"/>
  <c r="R56" i="5"/>
  <c r="T56" i="5" s="1"/>
  <c r="R57" i="5"/>
  <c r="T57" i="5" s="1"/>
  <c r="R60" i="5"/>
  <c r="T60" i="5" s="1"/>
  <c r="S51" i="5"/>
  <c r="R51" i="5"/>
  <c r="S50" i="5"/>
  <c r="R50" i="5"/>
  <c r="S49" i="5"/>
  <c r="R49" i="5"/>
  <c r="R47" i="5"/>
  <c r="R48" i="5"/>
  <c r="U266" i="6"/>
  <c r="U238" i="6"/>
  <c r="T51" i="5" l="1"/>
  <c r="T49" i="5"/>
  <c r="V266" i="6"/>
  <c r="T52" i="5"/>
  <c r="T50" i="5"/>
  <c r="Z319" i="4"/>
  <c r="Z320" i="4"/>
  <c r="Z321" i="4"/>
  <c r="Z322" i="4"/>
  <c r="Z323" i="4"/>
  <c r="Z324" i="4"/>
  <c r="Z325" i="4"/>
  <c r="AB318" i="4"/>
  <c r="AB319" i="4"/>
  <c r="AB320" i="4"/>
  <c r="AB321" i="4"/>
  <c r="AB322" i="4"/>
  <c r="AB323" i="4"/>
  <c r="AB324" i="4"/>
  <c r="AB325" i="4"/>
  <c r="Z315" i="4"/>
  <c r="Z316" i="4"/>
  <c r="Z318" i="4"/>
  <c r="T314" i="4"/>
  <c r="Z314" i="4" s="1"/>
  <c r="T313" i="4"/>
  <c r="AB313" i="4" s="1"/>
  <c r="AB315" i="4"/>
  <c r="AB316" i="4"/>
  <c r="T312" i="4"/>
  <c r="AB312" i="4" s="1"/>
  <c r="AC325" i="4" l="1"/>
  <c r="AC321" i="4"/>
  <c r="AC315" i="4"/>
  <c r="AC324" i="4"/>
  <c r="AC320" i="4"/>
  <c r="AC316" i="4"/>
  <c r="AC322" i="4"/>
  <c r="AC323" i="4"/>
  <c r="AC319" i="4"/>
  <c r="AC318" i="4"/>
  <c r="Z312" i="4"/>
  <c r="AC312" i="4" s="1"/>
  <c r="AB314" i="4"/>
  <c r="AC314" i="4" s="1"/>
  <c r="Z313" i="4"/>
  <c r="AC313" i="4" s="1"/>
  <c r="T311" i="4" l="1"/>
  <c r="Z311" i="4" s="1"/>
  <c r="T310" i="4"/>
  <c r="T309" i="4"/>
  <c r="Z309" i="4" s="1"/>
  <c r="T308" i="4"/>
  <c r="Z308" i="4" s="1"/>
  <c r="T307" i="4"/>
  <c r="Z307" i="4" s="1"/>
  <c r="T306" i="4"/>
  <c r="T305" i="4"/>
  <c r="U265" i="6" l="1"/>
  <c r="U264" i="6"/>
  <c r="U263" i="6"/>
  <c r="V264" i="6" l="1"/>
  <c r="V265" i="6"/>
  <c r="X237" i="6"/>
  <c r="X233" i="6"/>
  <c r="X264" i="6" l="1"/>
  <c r="S246" i="6"/>
  <c r="S245" i="6"/>
  <c r="S244" i="6"/>
  <c r="S242" i="6"/>
  <c r="S47" i="5" l="1"/>
  <c r="T47" i="5" s="1"/>
  <c r="S48" i="5"/>
  <c r="T48" i="5" s="1"/>
  <c r="S43" i="5"/>
  <c r="S44" i="5"/>
  <c r="S45" i="5"/>
  <c r="S46" i="5"/>
  <c r="R43" i="5"/>
  <c r="V43" i="5" s="1"/>
  <c r="R44" i="5"/>
  <c r="T44" i="5" s="1"/>
  <c r="R45" i="5"/>
  <c r="T45" i="5" s="1"/>
  <c r="R46" i="5"/>
  <c r="V263" i="6"/>
  <c r="U262" i="6"/>
  <c r="T304" i="4"/>
  <c r="T303" i="4"/>
  <c r="T302" i="4"/>
  <c r="T301" i="4"/>
  <c r="T46" i="5" l="1"/>
  <c r="V262" i="6"/>
  <c r="T300" i="4"/>
  <c r="Z300" i="4" s="1"/>
  <c r="T299" i="4"/>
  <c r="AB299" i="4" s="1"/>
  <c r="T298" i="4"/>
  <c r="Z298" i="4" s="1"/>
  <c r="AB301" i="4"/>
  <c r="AB302" i="4"/>
  <c r="AB303" i="4"/>
  <c r="AB304" i="4"/>
  <c r="AB305" i="4"/>
  <c r="AB306" i="4"/>
  <c r="AB307" i="4"/>
  <c r="AC307" i="4" s="1"/>
  <c r="AB308" i="4"/>
  <c r="AC308" i="4" s="1"/>
  <c r="AB309" i="4"/>
  <c r="AC309" i="4" s="1"/>
  <c r="AB310" i="4"/>
  <c r="AC310" i="4" s="1"/>
  <c r="AB311" i="4"/>
  <c r="AC311" i="4" s="1"/>
  <c r="Z301" i="4"/>
  <c r="Z302" i="4"/>
  <c r="Z303" i="4"/>
  <c r="Z304" i="4"/>
  <c r="Z305" i="4"/>
  <c r="Z306" i="4"/>
  <c r="T297" i="4"/>
  <c r="Z297" i="4" s="1"/>
  <c r="T296" i="4"/>
  <c r="U261" i="6"/>
  <c r="AC306" i="4" l="1"/>
  <c r="AC304" i="4"/>
  <c r="V261" i="6"/>
  <c r="Z299" i="4"/>
  <c r="AC299" i="4" s="1"/>
  <c r="AC303" i="4"/>
  <c r="AB297" i="4"/>
  <c r="AC297" i="4" s="1"/>
  <c r="AB300" i="4"/>
  <c r="AC300" i="4" s="1"/>
  <c r="AC302" i="4"/>
  <c r="AC305" i="4"/>
  <c r="AC301" i="4"/>
  <c r="AB298" i="4"/>
  <c r="AC298" i="4" s="1"/>
  <c r="U260" i="6"/>
  <c r="V260" i="6" s="1"/>
  <c r="U259" i="6" l="1"/>
  <c r="T295" i="4"/>
  <c r="V259" i="6" l="1"/>
  <c r="U256" i="6"/>
  <c r="U258" i="6"/>
  <c r="U257" i="6"/>
  <c r="V258" i="6" l="1"/>
  <c r="T294" i="4"/>
  <c r="T293" i="4"/>
  <c r="Z293" i="4" s="1"/>
  <c r="T292" i="4"/>
  <c r="Z292" i="4" s="1"/>
  <c r="T291" i="4"/>
  <c r="Z291" i="4" s="1"/>
  <c r="T290" i="4"/>
  <c r="T289" i="4"/>
  <c r="V257" i="6" l="1"/>
  <c r="V256" i="6"/>
  <c r="S252" i="6"/>
  <c r="U255" i="6" l="1"/>
  <c r="S255" i="6"/>
  <c r="T288" i="4"/>
  <c r="T287" i="4"/>
  <c r="V255" i="6" l="1"/>
  <c r="U254" i="6"/>
  <c r="S254" i="6"/>
  <c r="U253" i="6"/>
  <c r="Z287" i="4"/>
  <c r="Z288" i="4"/>
  <c r="Z289" i="4"/>
  <c r="Z290" i="4"/>
  <c r="Z294" i="4"/>
  <c r="Z295" i="4"/>
  <c r="Z296" i="4"/>
  <c r="AB287" i="4"/>
  <c r="AB288" i="4"/>
  <c r="AB289" i="4"/>
  <c r="AB290" i="4"/>
  <c r="AB291" i="4"/>
  <c r="AC291" i="4" s="1"/>
  <c r="AB292" i="4"/>
  <c r="AB293" i="4"/>
  <c r="AC293" i="4" s="1"/>
  <c r="AB294" i="4"/>
  <c r="AB295" i="4"/>
  <c r="AB296" i="4"/>
  <c r="T286" i="4"/>
  <c r="Z286" i="4" s="1"/>
  <c r="T285" i="4"/>
  <c r="T284" i="4"/>
  <c r="V253" i="6" l="1"/>
  <c r="V254" i="6"/>
  <c r="AC296" i="4"/>
  <c r="AC287" i="4"/>
  <c r="AB286" i="4"/>
  <c r="AC286" i="4" s="1"/>
  <c r="AC290" i="4"/>
  <c r="AC295" i="4"/>
  <c r="AC294" i="4"/>
  <c r="AC289" i="4"/>
  <c r="AC292" i="4"/>
  <c r="AC288" i="4"/>
  <c r="T283" i="4"/>
  <c r="R33" i="2"/>
  <c r="AC33" i="2" s="1"/>
  <c r="T282" i="4"/>
  <c r="T281" i="4"/>
  <c r="T280" i="4" l="1"/>
  <c r="Z280" i="4" s="1"/>
  <c r="AB281" i="4"/>
  <c r="AB282" i="4"/>
  <c r="AB283" i="4"/>
  <c r="AB284" i="4"/>
  <c r="AB285" i="4"/>
  <c r="Z281" i="4"/>
  <c r="Z282" i="4"/>
  <c r="Z283" i="4"/>
  <c r="Z284" i="4"/>
  <c r="Z285" i="4"/>
  <c r="T279" i="4"/>
  <c r="Z279" i="4" s="1"/>
  <c r="T278" i="4"/>
  <c r="T277" i="4"/>
  <c r="T276" i="4"/>
  <c r="T275" i="4"/>
  <c r="T273" i="4"/>
  <c r="T272" i="4"/>
  <c r="AC282" i="4" l="1"/>
  <c r="AC284" i="4"/>
  <c r="AB280" i="4"/>
  <c r="AC280" i="4" s="1"/>
  <c r="AC283" i="4"/>
  <c r="AC285" i="4"/>
  <c r="AC281" i="4"/>
  <c r="AB279" i="4"/>
  <c r="AC279" i="4" s="1"/>
  <c r="T271" i="4"/>
  <c r="AE271" i="4" s="1"/>
  <c r="T270" i="4"/>
  <c r="AE270" i="4" s="1"/>
  <c r="S250" i="6"/>
  <c r="S249" i="6"/>
  <c r="T269" i="4" l="1"/>
  <c r="T268" i="4"/>
  <c r="T267" i="4"/>
  <c r="U247" i="6" l="1"/>
  <c r="U248" i="6"/>
  <c r="V248" i="6" s="1"/>
  <c r="U249" i="6"/>
  <c r="V249" i="6" s="1"/>
  <c r="U250" i="6"/>
  <c r="V250" i="6" s="1"/>
  <c r="U251" i="6"/>
  <c r="V251" i="6" s="1"/>
  <c r="U252" i="6"/>
  <c r="V252" i="6" s="1"/>
  <c r="S247" i="6"/>
  <c r="V247" i="6" l="1"/>
  <c r="S57" i="1"/>
  <c r="AC57" i="1" s="1"/>
  <c r="T266" i="4"/>
  <c r="Z266" i="4" s="1"/>
  <c r="Z267" i="4"/>
  <c r="Z268" i="4"/>
  <c r="Z269" i="4"/>
  <c r="T265" i="4"/>
  <c r="T264" i="4"/>
  <c r="Z264" i="4" s="1"/>
  <c r="T263" i="4"/>
  <c r="T262" i="4"/>
  <c r="T261" i="4"/>
  <c r="U246" i="6"/>
  <c r="S243" i="6"/>
  <c r="Z265" i="4" l="1"/>
  <c r="AE265" i="4"/>
  <c r="V246" i="6"/>
  <c r="U241" i="6"/>
  <c r="U242" i="6"/>
  <c r="U243" i="6"/>
  <c r="V243" i="6" s="1"/>
  <c r="U244" i="6"/>
  <c r="V244" i="6" s="1"/>
  <c r="U245" i="6"/>
  <c r="V245" i="6" s="1"/>
  <c r="S241" i="6"/>
  <c r="T260" i="4"/>
  <c r="AE260" i="4" s="1"/>
  <c r="V241" i="6" l="1"/>
  <c r="V242" i="6"/>
  <c r="T259" i="4"/>
  <c r="S56" i="1"/>
  <c r="S55" i="1"/>
  <c r="AC55" i="1" s="1"/>
  <c r="U240" i="6"/>
  <c r="S240" i="6"/>
  <c r="U239" i="6"/>
  <c r="S239" i="6"/>
  <c r="V240" i="6" l="1"/>
  <c r="V239" i="6"/>
  <c r="T258" i="4"/>
  <c r="AE258" i="4" s="1"/>
  <c r="T257" i="4"/>
  <c r="T256" i="4"/>
  <c r="T255" i="4"/>
  <c r="T254" i="4"/>
  <c r="AB254" i="4" s="1"/>
  <c r="S54" i="1"/>
  <c r="S53" i="1"/>
  <c r="S52" i="1"/>
  <c r="T253" i="4"/>
  <c r="AB253" i="4" s="1"/>
  <c r="T252" i="4"/>
  <c r="AB252" i="4" s="1"/>
  <c r="T251" i="4"/>
  <c r="Z251" i="4" s="1"/>
  <c r="AB251" i="4" l="1"/>
  <c r="AC251" i="4" s="1"/>
  <c r="S238" i="6"/>
  <c r="S237" i="6"/>
  <c r="S236" i="6"/>
  <c r="U235" i="6"/>
  <c r="U234" i="6"/>
  <c r="S234" i="6"/>
  <c r="U232" i="6"/>
  <c r="U233" i="6"/>
  <c r="S233" i="6"/>
  <c r="S232" i="6"/>
  <c r="U231" i="6"/>
  <c r="S231" i="6"/>
  <c r="S230" i="6" l="1"/>
  <c r="T250" i="4" l="1"/>
  <c r="T249" i="4"/>
  <c r="T248" i="4"/>
  <c r="T247" i="4"/>
  <c r="R32" i="2"/>
  <c r="AC32" i="2" s="1"/>
  <c r="T246" i="4"/>
  <c r="T245" i="4"/>
  <c r="T244" i="4"/>
  <c r="T243" i="4"/>
  <c r="S51" i="1"/>
  <c r="T242" i="4"/>
  <c r="T241" i="4"/>
  <c r="T240" i="4"/>
  <c r="S50" i="1"/>
  <c r="T239" i="4"/>
  <c r="T238" i="4"/>
  <c r="T237" i="4"/>
  <c r="T236" i="4"/>
  <c r="S229" i="6"/>
  <c r="T235" i="4" l="1"/>
  <c r="T234" i="4"/>
  <c r="Z234" i="4" s="1"/>
  <c r="S228" i="6" l="1"/>
  <c r="S227" i="6"/>
  <c r="T233" i="4"/>
  <c r="Z233" i="4" s="1"/>
  <c r="T232" i="4"/>
  <c r="AB232" i="4" s="1"/>
  <c r="T231" i="4"/>
  <c r="AB231" i="4" s="1"/>
  <c r="T230" i="4"/>
  <c r="Z230" i="4" s="1"/>
  <c r="S49" i="1"/>
  <c r="AB234" i="4"/>
  <c r="AB235" i="4"/>
  <c r="AB236" i="4"/>
  <c r="AB237" i="4"/>
  <c r="AB238" i="4"/>
  <c r="AB239" i="4"/>
  <c r="AB240" i="4"/>
  <c r="AB241" i="4"/>
  <c r="AB242" i="4"/>
  <c r="AB243" i="4"/>
  <c r="AB244" i="4"/>
  <c r="AB245" i="4"/>
  <c r="AB246" i="4"/>
  <c r="AB247" i="4"/>
  <c r="AB248" i="4"/>
  <c r="AB249" i="4"/>
  <c r="AB250" i="4"/>
  <c r="AB255" i="4"/>
  <c r="AB256" i="4"/>
  <c r="AB257" i="4"/>
  <c r="AB258" i="4"/>
  <c r="AB259" i="4"/>
  <c r="AB260" i="4"/>
  <c r="AB261" i="4"/>
  <c r="AB262" i="4"/>
  <c r="AB263" i="4"/>
  <c r="AB264" i="4"/>
  <c r="AB265" i="4"/>
  <c r="AB266" i="4"/>
  <c r="AB267" i="4"/>
  <c r="AB268" i="4"/>
  <c r="AB269" i="4"/>
  <c r="AB270" i="4"/>
  <c r="AB271" i="4"/>
  <c r="AB272" i="4"/>
  <c r="AB273" i="4"/>
  <c r="AB274" i="4"/>
  <c r="AB275" i="4"/>
  <c r="AB276" i="4"/>
  <c r="AB277" i="4"/>
  <c r="AB278" i="4"/>
  <c r="Z235" i="4"/>
  <c r="Z236" i="4"/>
  <c r="Z237" i="4"/>
  <c r="Z238" i="4"/>
  <c r="Z239" i="4"/>
  <c r="Z240" i="4"/>
  <c r="Z241" i="4"/>
  <c r="Z242" i="4"/>
  <c r="Z243" i="4"/>
  <c r="Z244" i="4"/>
  <c r="Z245" i="4"/>
  <c r="Z246" i="4"/>
  <c r="Z247" i="4"/>
  <c r="Z248" i="4"/>
  <c r="Z249" i="4"/>
  <c r="Z250" i="4"/>
  <c r="Z252" i="4"/>
  <c r="AC252" i="4" s="1"/>
  <c r="Z253" i="4"/>
  <c r="AC253" i="4" s="1"/>
  <c r="Z254" i="4"/>
  <c r="AC254" i="4" s="1"/>
  <c r="Z255" i="4"/>
  <c r="Z256" i="4"/>
  <c r="Z257" i="4"/>
  <c r="Z258" i="4"/>
  <c r="Z259" i="4"/>
  <c r="Z260" i="4"/>
  <c r="Z261" i="4"/>
  <c r="Z262" i="4"/>
  <c r="Z263" i="4"/>
  <c r="Z270" i="4"/>
  <c r="Z271" i="4"/>
  <c r="Z272" i="4"/>
  <c r="Z273" i="4"/>
  <c r="Z274" i="4"/>
  <c r="Z275" i="4"/>
  <c r="Z276" i="4"/>
  <c r="Z277" i="4"/>
  <c r="Z278" i="4"/>
  <c r="T229" i="4"/>
  <c r="AB229" i="4" s="1"/>
  <c r="T228" i="4"/>
  <c r="T227" i="4"/>
  <c r="T226" i="4"/>
  <c r="T225" i="4"/>
  <c r="T224" i="4"/>
  <c r="T223" i="4"/>
  <c r="T222" i="4"/>
  <c r="T221" i="4"/>
  <c r="T220" i="4"/>
  <c r="AE245" i="4" l="1"/>
  <c r="AC275" i="4"/>
  <c r="AC271" i="4"/>
  <c r="AC267" i="4"/>
  <c r="AC263" i="4"/>
  <c r="AC259" i="4"/>
  <c r="AC255" i="4"/>
  <c r="AC247" i="4"/>
  <c r="AC243" i="4"/>
  <c r="AC239" i="4"/>
  <c r="AC235" i="4"/>
  <c r="AC276" i="4"/>
  <c r="AC272" i="4"/>
  <c r="AC268" i="4"/>
  <c r="AC264" i="4"/>
  <c r="AC260" i="4"/>
  <c r="AC256" i="4"/>
  <c r="AC248" i="4"/>
  <c r="AC244" i="4"/>
  <c r="AC240" i="4"/>
  <c r="AC236" i="4"/>
  <c r="Z232" i="4"/>
  <c r="AC232" i="4" s="1"/>
  <c r="AC278" i="4"/>
  <c r="AC274" i="4"/>
  <c r="AC270" i="4"/>
  <c r="AC266" i="4"/>
  <c r="AC262" i="4"/>
  <c r="AC258" i="4"/>
  <c r="AC250" i="4"/>
  <c r="AC246" i="4"/>
  <c r="AC242" i="4"/>
  <c r="AC238" i="4"/>
  <c r="AC234" i="4"/>
  <c r="Z229" i="4"/>
  <c r="AC229" i="4" s="1"/>
  <c r="AC277" i="4"/>
  <c r="AC273" i="4"/>
  <c r="AC269" i="4"/>
  <c r="AC265" i="4"/>
  <c r="AC261" i="4"/>
  <c r="AC257" i="4"/>
  <c r="AC249" i="4"/>
  <c r="AC245" i="4"/>
  <c r="AC241" i="4"/>
  <c r="AC237" i="4"/>
  <c r="AB230" i="4"/>
  <c r="AC230" i="4" s="1"/>
  <c r="AB233" i="4"/>
  <c r="AC233" i="4" s="1"/>
  <c r="Z231" i="4"/>
  <c r="AC231" i="4" s="1"/>
  <c r="T219" i="4"/>
  <c r="Z219" i="4" s="1"/>
  <c r="T218" i="4"/>
  <c r="AB218" i="4" s="1"/>
  <c r="S48" i="1"/>
  <c r="Y48" i="1" s="1"/>
  <c r="T217" i="4"/>
  <c r="AB217" i="4" s="1"/>
  <c r="T216" i="4"/>
  <c r="Z216" i="4" s="1"/>
  <c r="S47" i="1"/>
  <c r="Z47" i="1" s="1"/>
  <c r="T215" i="4"/>
  <c r="AB215" i="4" s="1"/>
  <c r="T214" i="4"/>
  <c r="Z214" i="4" s="1"/>
  <c r="T213" i="4"/>
  <c r="Z213" i="4" s="1"/>
  <c r="X36" i="2"/>
  <c r="X37" i="2"/>
  <c r="X38" i="2"/>
  <c r="X39" i="2"/>
  <c r="X40" i="2"/>
  <c r="X41" i="2"/>
  <c r="X42" i="2"/>
  <c r="Y36" i="2"/>
  <c r="Y37" i="2"/>
  <c r="Y38" i="2"/>
  <c r="Y39" i="2"/>
  <c r="Y40" i="2"/>
  <c r="Y41" i="2"/>
  <c r="Y42" i="2"/>
  <c r="R31" i="2"/>
  <c r="R30" i="2"/>
  <c r="S46" i="1"/>
  <c r="Z46" i="1" s="1"/>
  <c r="R29" i="2"/>
  <c r="T212" i="4"/>
  <c r="AB212" i="4" s="1"/>
  <c r="S45" i="1"/>
  <c r="Y45" i="1" s="1"/>
  <c r="T211" i="4"/>
  <c r="AB211" i="4" s="1"/>
  <c r="AB220" i="4"/>
  <c r="AB221" i="4"/>
  <c r="AB222" i="4"/>
  <c r="AB223" i="4"/>
  <c r="AB224" i="4"/>
  <c r="AB225" i="4"/>
  <c r="AB226" i="4"/>
  <c r="AB227" i="4"/>
  <c r="AB228" i="4"/>
  <c r="Z220" i="4"/>
  <c r="Z221" i="4"/>
  <c r="Z222" i="4"/>
  <c r="Z223" i="4"/>
  <c r="Z224" i="4"/>
  <c r="Z225" i="4"/>
  <c r="Z226" i="4"/>
  <c r="Z227" i="4"/>
  <c r="Z228" i="4"/>
  <c r="T210" i="4"/>
  <c r="Z210" i="4" s="1"/>
  <c r="S44" i="1"/>
  <c r="Y44" i="1" s="1"/>
  <c r="Y49" i="1"/>
  <c r="Y50" i="1"/>
  <c r="Y51" i="1"/>
  <c r="Y52" i="1"/>
  <c r="Y53" i="1"/>
  <c r="Y54" i="1"/>
  <c r="Y55" i="1"/>
  <c r="Y56" i="1"/>
  <c r="Y57" i="1"/>
  <c r="Y58" i="1"/>
  <c r="Y59" i="1"/>
  <c r="Y60" i="1"/>
  <c r="Y61" i="1"/>
  <c r="Y62" i="1"/>
  <c r="Y63" i="1"/>
  <c r="Y64" i="1"/>
  <c r="Z49" i="1"/>
  <c r="Z50" i="1"/>
  <c r="Z51" i="1"/>
  <c r="AA51" i="1" s="1"/>
  <c r="Z52" i="1"/>
  <c r="Z53" i="1"/>
  <c r="Z54" i="1"/>
  <c r="Z55" i="1"/>
  <c r="Z56" i="1"/>
  <c r="Z57" i="1"/>
  <c r="Z58" i="1"/>
  <c r="Z59" i="1"/>
  <c r="AA59" i="1" s="1"/>
  <c r="Z60" i="1"/>
  <c r="Z61" i="1"/>
  <c r="AA61" i="1" s="1"/>
  <c r="Z62" i="1"/>
  <c r="AA62" i="1" s="1"/>
  <c r="Z63" i="1"/>
  <c r="AA63" i="1" s="1"/>
  <c r="Z64" i="1"/>
  <c r="AA57" i="1"/>
  <c r="S43" i="1"/>
  <c r="Z43" i="1" s="1"/>
  <c r="T209" i="4"/>
  <c r="Z209" i="4" s="1"/>
  <c r="T208" i="4"/>
  <c r="T207" i="4"/>
  <c r="T206" i="4"/>
  <c r="Z38" i="2" l="1"/>
  <c r="AA50" i="1"/>
  <c r="Z39" i="2"/>
  <c r="AA64" i="1"/>
  <c r="AA60" i="1"/>
  <c r="AA56" i="1"/>
  <c r="AA52" i="1"/>
  <c r="Z45" i="1"/>
  <c r="AA45" i="1" s="1"/>
  <c r="AA53" i="1"/>
  <c r="AA49" i="1"/>
  <c r="AA55" i="1"/>
  <c r="Z44" i="1"/>
  <c r="AA44" i="1" s="1"/>
  <c r="Z40" i="2"/>
  <c r="Z36" i="2"/>
  <c r="AA58" i="1"/>
  <c r="AA54" i="1"/>
  <c r="Y46" i="1"/>
  <c r="AA46" i="1" s="1"/>
  <c r="Z42" i="2"/>
  <c r="AB216" i="4"/>
  <c r="AC216" i="4" s="1"/>
  <c r="Y43" i="1"/>
  <c r="AA43" i="1" s="1"/>
  <c r="Y47" i="1"/>
  <c r="AA47" i="1" s="1"/>
  <c r="Z41" i="2"/>
  <c r="Z37" i="2"/>
  <c r="AC224" i="4"/>
  <c r="Z212" i="4"/>
  <c r="AC212" i="4" s="1"/>
  <c r="Z215" i="4"/>
  <c r="AC215" i="4" s="1"/>
  <c r="AC225" i="4"/>
  <c r="AC228" i="4"/>
  <c r="AC227" i="4"/>
  <c r="AC226" i="4"/>
  <c r="AC223" i="4"/>
  <c r="AC222" i="4"/>
  <c r="AC221" i="4"/>
  <c r="AC220" i="4"/>
  <c r="AB219" i="4"/>
  <c r="AC219" i="4" s="1"/>
  <c r="Z218" i="4"/>
  <c r="AC218" i="4" s="1"/>
  <c r="Z48" i="1"/>
  <c r="AA48" i="1" s="1"/>
  <c r="Z217" i="4"/>
  <c r="AC217" i="4" s="1"/>
  <c r="AB214" i="4"/>
  <c r="AC214" i="4" s="1"/>
  <c r="AB213" i="4"/>
  <c r="AC213" i="4" s="1"/>
  <c r="Z211" i="4"/>
  <c r="AC211" i="4" s="1"/>
  <c r="S42" i="1"/>
  <c r="T205" i="4"/>
  <c r="T204" i="4"/>
  <c r="R28" i="2"/>
  <c r="T203" i="4"/>
  <c r="T202" i="4"/>
  <c r="T201" i="4" l="1"/>
  <c r="S41" i="1"/>
  <c r="T200" i="4"/>
  <c r="T199" i="4"/>
  <c r="T198" i="4"/>
  <c r="T197" i="4"/>
  <c r="T196" i="4"/>
  <c r="T195" i="4"/>
  <c r="S40" i="1"/>
  <c r="T194" i="4"/>
  <c r="T193" i="4"/>
  <c r="S215" i="6" l="1"/>
  <c r="S223" i="6" l="1"/>
  <c r="U223" i="6"/>
  <c r="U224" i="6"/>
  <c r="V224" i="6" s="1"/>
  <c r="U225" i="6"/>
  <c r="V225" i="6" s="1"/>
  <c r="U226" i="6"/>
  <c r="V226" i="6" s="1"/>
  <c r="U227" i="6"/>
  <c r="V227" i="6" s="1"/>
  <c r="U228" i="6"/>
  <c r="V228" i="6" s="1"/>
  <c r="U229" i="6"/>
  <c r="V229" i="6" s="1"/>
  <c r="U230" i="6"/>
  <c r="V230" i="6" s="1"/>
  <c r="V231" i="6"/>
  <c r="V232" i="6"/>
  <c r="V233" i="6"/>
  <c r="V234" i="6"/>
  <c r="V235" i="6"/>
  <c r="U236" i="6"/>
  <c r="V236" i="6" s="1"/>
  <c r="U237" i="6"/>
  <c r="V237" i="6" s="1"/>
  <c r="V238" i="6"/>
  <c r="T192" i="4"/>
  <c r="AB192" i="4" s="1"/>
  <c r="T191" i="4"/>
  <c r="AB191" i="4" s="1"/>
  <c r="T190" i="4"/>
  <c r="Z190" i="4" s="1"/>
  <c r="S39" i="1"/>
  <c r="AB193" i="4"/>
  <c r="AB194" i="4"/>
  <c r="AB195" i="4"/>
  <c r="AB196" i="4"/>
  <c r="AB197" i="4"/>
  <c r="AB198" i="4"/>
  <c r="AB199" i="4"/>
  <c r="AB200" i="4"/>
  <c r="AB201" i="4"/>
  <c r="AB202" i="4"/>
  <c r="AB203" i="4"/>
  <c r="AB204" i="4"/>
  <c r="AB205" i="4"/>
  <c r="AB206" i="4"/>
  <c r="AB207" i="4"/>
  <c r="AB208" i="4"/>
  <c r="AB209" i="4"/>
  <c r="AC209" i="4" s="1"/>
  <c r="AB210" i="4"/>
  <c r="AC210" i="4" s="1"/>
  <c r="Z193" i="4"/>
  <c r="Z194" i="4"/>
  <c r="Z195" i="4"/>
  <c r="Z196" i="4"/>
  <c r="Z197" i="4"/>
  <c r="Z198" i="4"/>
  <c r="Z199" i="4"/>
  <c r="Z200" i="4"/>
  <c r="Z201" i="4"/>
  <c r="Z202" i="4"/>
  <c r="Z203" i="4"/>
  <c r="Z204" i="4"/>
  <c r="Z205" i="4"/>
  <c r="Z206" i="4"/>
  <c r="Z207" i="4"/>
  <c r="Z208" i="4"/>
  <c r="T189" i="4"/>
  <c r="Y28" i="2"/>
  <c r="Y29" i="2"/>
  <c r="Y30" i="2"/>
  <c r="Y31" i="2"/>
  <c r="Y32" i="2"/>
  <c r="Y33" i="2"/>
  <c r="Y34" i="2"/>
  <c r="Y35" i="2"/>
  <c r="X28" i="2"/>
  <c r="X29" i="2"/>
  <c r="X30" i="2"/>
  <c r="X31" i="2"/>
  <c r="Z31" i="2" s="1"/>
  <c r="X32" i="2"/>
  <c r="Z32" i="2" s="1"/>
  <c r="X33" i="2"/>
  <c r="X34" i="2"/>
  <c r="X35" i="2"/>
  <c r="Z35" i="2" s="1"/>
  <c r="R27" i="2"/>
  <c r="X27" i="2" s="1"/>
  <c r="R26" i="2"/>
  <c r="Z191" i="4" l="1"/>
  <c r="AC191" i="4" s="1"/>
  <c r="Z29" i="2"/>
  <c r="Z30" i="2"/>
  <c r="Z33" i="2"/>
  <c r="Z192" i="4"/>
  <c r="AC192" i="4" s="1"/>
  <c r="Z28" i="2"/>
  <c r="Z34" i="2"/>
  <c r="Y27" i="2"/>
  <c r="Z27" i="2" s="1"/>
  <c r="AC208" i="4"/>
  <c r="AC196" i="4"/>
  <c r="AC207" i="4"/>
  <c r="AC203" i="4"/>
  <c r="AC199" i="4"/>
  <c r="AC195" i="4"/>
  <c r="AC204" i="4"/>
  <c r="AC206" i="4"/>
  <c r="AC202" i="4"/>
  <c r="AC198" i="4"/>
  <c r="AC194" i="4"/>
  <c r="AB190" i="4"/>
  <c r="AC190" i="4" s="1"/>
  <c r="AC200" i="4"/>
  <c r="AC205" i="4"/>
  <c r="AC201" i="4"/>
  <c r="AC197" i="4"/>
  <c r="AC193" i="4"/>
  <c r="U190" i="4"/>
  <c r="V223" i="6"/>
  <c r="U222" i="6"/>
  <c r="S222" i="6"/>
  <c r="V222" i="6" l="1"/>
  <c r="AB189" i="4"/>
  <c r="Z189" i="4"/>
  <c r="T187" i="4"/>
  <c r="Z187" i="4" s="1"/>
  <c r="T188" i="4"/>
  <c r="AB188" i="4" s="1"/>
  <c r="R25" i="2"/>
  <c r="S38" i="1"/>
  <c r="R24" i="2"/>
  <c r="U221" i="6"/>
  <c r="V221" i="6" s="1"/>
  <c r="S218" i="6"/>
  <c r="T218" i="6" s="1"/>
  <c r="U217" i="6"/>
  <c r="U218" i="6"/>
  <c r="U219" i="6"/>
  <c r="U220" i="6"/>
  <c r="S217" i="6"/>
  <c r="S219" i="6"/>
  <c r="S220" i="6"/>
  <c r="AB187" i="4" l="1"/>
  <c r="AC187" i="4" s="1"/>
  <c r="AC189" i="4"/>
  <c r="Z188" i="4"/>
  <c r="AC188" i="4" s="1"/>
  <c r="V217" i="6"/>
  <c r="V220" i="6"/>
  <c r="V219" i="6"/>
  <c r="V218" i="6"/>
  <c r="T182" i="4"/>
  <c r="Z182" i="4" s="1"/>
  <c r="T183" i="4"/>
  <c r="AB183" i="4" s="1"/>
  <c r="T184" i="4"/>
  <c r="AB184" i="4" s="1"/>
  <c r="T185" i="4"/>
  <c r="T186" i="4"/>
  <c r="Z186" i="4" s="1"/>
  <c r="Z183" i="4"/>
  <c r="T178" i="4"/>
  <c r="AB178" i="4" s="1"/>
  <c r="T179" i="4"/>
  <c r="AB179" i="4" s="1"/>
  <c r="T180" i="4"/>
  <c r="AB180" i="4" s="1"/>
  <c r="T181" i="4"/>
  <c r="Z181" i="4" s="1"/>
  <c r="Z38" i="1"/>
  <c r="Z39" i="1"/>
  <c r="Z40" i="1"/>
  <c r="Z41" i="1"/>
  <c r="Z42" i="1"/>
  <c r="Y38" i="1"/>
  <c r="Y39" i="1"/>
  <c r="Y40" i="1"/>
  <c r="Y41" i="1"/>
  <c r="Y42" i="1"/>
  <c r="S35" i="1"/>
  <c r="Y35" i="1" s="1"/>
  <c r="T170" i="4"/>
  <c r="Z170" i="4" s="1"/>
  <c r="T171" i="4"/>
  <c r="AB171" i="4" s="1"/>
  <c r="T172" i="4"/>
  <c r="AB172" i="4" s="1"/>
  <c r="T173" i="4"/>
  <c r="Z173" i="4" s="1"/>
  <c r="T174" i="4"/>
  <c r="Z174" i="4" s="1"/>
  <c r="T175" i="4"/>
  <c r="AB175" i="4" s="1"/>
  <c r="T176" i="4"/>
  <c r="Z176" i="4" s="1"/>
  <c r="T177" i="4"/>
  <c r="Z177" i="4" s="1"/>
  <c r="AA40" i="1" l="1"/>
  <c r="Z35" i="1"/>
  <c r="AA35" i="1" s="1"/>
  <c r="AA42" i="1"/>
  <c r="AA39" i="1"/>
  <c r="AA41" i="1"/>
  <c r="AC183" i="4"/>
  <c r="AA38" i="1"/>
  <c r="Z184" i="4"/>
  <c r="AC184" i="4" s="1"/>
  <c r="Z178" i="4"/>
  <c r="AC178" i="4" s="1"/>
  <c r="AB186" i="4"/>
  <c r="AC186" i="4" s="1"/>
  <c r="AB182" i="4"/>
  <c r="AC182" i="4" s="1"/>
  <c r="AB177" i="4"/>
  <c r="AC177" i="4" s="1"/>
  <c r="AB185" i="4"/>
  <c r="AC185" i="4" s="1"/>
  <c r="AB181" i="4"/>
  <c r="AC181" i="4" s="1"/>
  <c r="Z180" i="4"/>
  <c r="AC180" i="4" s="1"/>
  <c r="Z179" i="4"/>
  <c r="AC179" i="4" s="1"/>
  <c r="AB176" i="4"/>
  <c r="AC176" i="4" s="1"/>
  <c r="Z175" i="4"/>
  <c r="AC175" i="4" s="1"/>
  <c r="Z172" i="4"/>
  <c r="AC172" i="4" s="1"/>
  <c r="Z171" i="4"/>
  <c r="AC171" i="4" s="1"/>
  <c r="AB170" i="4"/>
  <c r="AC170" i="4" s="1"/>
  <c r="AB173" i="4"/>
  <c r="AC173" i="4" s="1"/>
  <c r="AB174" i="4"/>
  <c r="AC174" i="4" s="1"/>
  <c r="T167" i="4"/>
  <c r="AB167" i="4" s="1"/>
  <c r="T168" i="4"/>
  <c r="Z168" i="4" s="1"/>
  <c r="T169" i="4"/>
  <c r="AB169" i="4" s="1"/>
  <c r="Z169" i="4" l="1"/>
  <c r="AC169" i="4" s="1"/>
  <c r="Z167" i="4"/>
  <c r="AC167" i="4" s="1"/>
  <c r="AB168" i="4"/>
  <c r="AC168" i="4" s="1"/>
  <c r="Y24" i="2"/>
  <c r="Y25" i="2"/>
  <c r="Y26" i="2"/>
  <c r="X24" i="2"/>
  <c r="X25" i="2"/>
  <c r="X26" i="2"/>
  <c r="R23" i="2"/>
  <c r="Y23" i="2" s="1"/>
  <c r="X23" i="2" l="1"/>
  <c r="Z23" i="2" s="1"/>
  <c r="Z24" i="2"/>
  <c r="Z26" i="2"/>
  <c r="Z25" i="2"/>
  <c r="T159" i="4"/>
  <c r="AB159" i="4" s="1"/>
  <c r="T160" i="4"/>
  <c r="AB160" i="4" s="1"/>
  <c r="T161" i="4"/>
  <c r="AB161" i="4" s="1"/>
  <c r="T162" i="4"/>
  <c r="Z162" i="4" s="1"/>
  <c r="T163" i="4"/>
  <c r="AB163" i="4" s="1"/>
  <c r="T164" i="4"/>
  <c r="AB164" i="4" s="1"/>
  <c r="T165" i="4"/>
  <c r="Z165" i="4" s="1"/>
  <c r="T166" i="4"/>
  <c r="AB166" i="4" s="1"/>
  <c r="U216" i="6"/>
  <c r="S216" i="6"/>
  <c r="U215" i="6"/>
  <c r="U214" i="6"/>
  <c r="S214" i="6"/>
  <c r="V215" i="6" l="1"/>
  <c r="V214" i="6"/>
  <c r="V216" i="6"/>
  <c r="Z159" i="4"/>
  <c r="AC159" i="4" s="1"/>
  <c r="AB165" i="4"/>
  <c r="AC165" i="4" s="1"/>
  <c r="Z166" i="4"/>
  <c r="AC166" i="4" s="1"/>
  <c r="Z164" i="4"/>
  <c r="AC164" i="4" s="1"/>
  <c r="Z163" i="4"/>
  <c r="AC163" i="4" s="1"/>
  <c r="AB162" i="4"/>
  <c r="AC162" i="4" s="1"/>
  <c r="Z161" i="4"/>
  <c r="AC161" i="4" s="1"/>
  <c r="Z160" i="4"/>
  <c r="AC160" i="4" s="1"/>
  <c r="U213" i="6"/>
  <c r="V213" i="6" s="1"/>
  <c r="U212" i="6"/>
  <c r="V212" i="6" s="1"/>
  <c r="T154" i="4" l="1"/>
  <c r="Z154" i="4" s="1"/>
  <c r="T155" i="4"/>
  <c r="AB155" i="4" s="1"/>
  <c r="T156" i="4"/>
  <c r="Z156" i="4" s="1"/>
  <c r="T157" i="4"/>
  <c r="Z157" i="4" s="1"/>
  <c r="T158" i="4"/>
  <c r="AB158" i="4" s="1"/>
  <c r="Z158" i="4" l="1"/>
  <c r="AC158" i="4" s="1"/>
  <c r="AB157" i="4"/>
  <c r="AC157" i="4" s="1"/>
  <c r="AB156" i="4"/>
  <c r="AC156" i="4" s="1"/>
  <c r="Z155" i="4"/>
  <c r="AC155" i="4" s="1"/>
  <c r="T148" i="4"/>
  <c r="AB148" i="4" s="1"/>
  <c r="T149" i="4"/>
  <c r="AB149" i="4" s="1"/>
  <c r="T150" i="4"/>
  <c r="AB150" i="4" s="1"/>
  <c r="T151" i="4"/>
  <c r="Z151" i="4" s="1"/>
  <c r="T152" i="4"/>
  <c r="AB152" i="4" s="1"/>
  <c r="T153" i="4"/>
  <c r="AB153" i="4" s="1"/>
  <c r="AB154" i="4"/>
  <c r="AC154" i="4" s="1"/>
  <c r="T145" i="4"/>
  <c r="T146" i="4"/>
  <c r="Z146" i="4" s="1"/>
  <c r="T147" i="4"/>
  <c r="AB147" i="4" s="1"/>
  <c r="T141" i="4"/>
  <c r="T142" i="4"/>
  <c r="Z142" i="4" s="1"/>
  <c r="T143" i="4"/>
  <c r="AB143" i="4" s="1"/>
  <c r="T144" i="4"/>
  <c r="AB144" i="4" s="1"/>
  <c r="AC144" i="4" s="1"/>
  <c r="S26" i="1"/>
  <c r="Z26" i="1" s="1"/>
  <c r="S27" i="1"/>
  <c r="Z27" i="1" s="1"/>
  <c r="S28" i="1"/>
  <c r="Z28" i="1" s="1"/>
  <c r="S29" i="1"/>
  <c r="Z29" i="1" s="1"/>
  <c r="S30" i="1"/>
  <c r="Z30" i="1" s="1"/>
  <c r="S31" i="1"/>
  <c r="Z31" i="1" s="1"/>
  <c r="S32" i="1"/>
  <c r="Y32" i="1" s="1"/>
  <c r="S33" i="1"/>
  <c r="Y33" i="1" s="1"/>
  <c r="S34" i="1"/>
  <c r="Z34" i="1" s="1"/>
  <c r="S36" i="1"/>
  <c r="S37" i="1"/>
  <c r="Z149" i="4" l="1"/>
  <c r="AC149" i="4" s="1"/>
  <c r="Y29" i="1"/>
  <c r="AA29" i="1" s="1"/>
  <c r="Y37" i="1"/>
  <c r="Z37" i="1"/>
  <c r="Z36" i="1"/>
  <c r="Y36" i="1"/>
  <c r="AB151" i="4"/>
  <c r="AC151" i="4" s="1"/>
  <c r="AB142" i="4"/>
  <c r="AC142" i="4" s="1"/>
  <c r="AB146" i="4"/>
  <c r="AC146" i="4" s="1"/>
  <c r="Y34" i="1"/>
  <c r="AA34" i="1" s="1"/>
  <c r="Z33" i="1"/>
  <c r="AA33" i="1" s="1"/>
  <c r="Z32" i="1"/>
  <c r="AA32" i="1" s="1"/>
  <c r="Y31" i="1"/>
  <c r="AA31" i="1" s="1"/>
  <c r="Y30" i="1"/>
  <c r="AA30" i="1" s="1"/>
  <c r="Y28" i="1"/>
  <c r="AA28" i="1" s="1"/>
  <c r="Z153" i="4"/>
  <c r="AC153" i="4" s="1"/>
  <c r="Z147" i="4"/>
  <c r="AC147" i="4" s="1"/>
  <c r="Y27" i="1"/>
  <c r="AA27" i="1" s="1"/>
  <c r="Y26" i="1"/>
  <c r="AA26" i="1" s="1"/>
  <c r="Z152" i="4"/>
  <c r="AC152" i="4" s="1"/>
  <c r="Z148" i="4"/>
  <c r="AC148" i="4" s="1"/>
  <c r="Z150" i="4"/>
  <c r="AC150" i="4" s="1"/>
  <c r="AB145" i="4"/>
  <c r="AC145" i="4" s="1"/>
  <c r="Z143" i="4"/>
  <c r="AC143" i="4" s="1"/>
  <c r="T139" i="4"/>
  <c r="U206" i="6"/>
  <c r="S206" i="6"/>
  <c r="U211" i="6"/>
  <c r="S211" i="6"/>
  <c r="U210" i="6"/>
  <c r="S210" i="6"/>
  <c r="U209" i="6"/>
  <c r="S209" i="6"/>
  <c r="AA36" i="1" l="1"/>
  <c r="V206" i="6"/>
  <c r="V211" i="6"/>
  <c r="AA37" i="1"/>
  <c r="R19" i="2"/>
  <c r="R20" i="2"/>
  <c r="X20" i="2" s="1"/>
  <c r="R21" i="2"/>
  <c r="Y21" i="2" s="1"/>
  <c r="R22" i="2"/>
  <c r="Y22" i="2" s="1"/>
  <c r="Y20" i="2" l="1"/>
  <c r="Z20" i="2" s="1"/>
  <c r="X22" i="2"/>
  <c r="Z22" i="2" s="1"/>
  <c r="X21" i="2"/>
  <c r="Z21" i="2" s="1"/>
  <c r="V209" i="6"/>
  <c r="V210" i="6"/>
  <c r="U205" i="6"/>
  <c r="U207" i="6"/>
  <c r="U208" i="6"/>
  <c r="V208" i="6" s="1"/>
  <c r="S205" i="6"/>
  <c r="U204" i="6"/>
  <c r="V204" i="6" s="1"/>
  <c r="AB141" i="4"/>
  <c r="Z141" i="4"/>
  <c r="T136" i="4"/>
  <c r="AB136" i="4" s="1"/>
  <c r="T137" i="4"/>
  <c r="Z137" i="4" s="1"/>
  <c r="T138" i="4"/>
  <c r="Z138" i="4" s="1"/>
  <c r="AB139" i="4"/>
  <c r="T140" i="4"/>
  <c r="AB140" i="4" s="1"/>
  <c r="AC141" i="4" l="1"/>
  <c r="Z140" i="4"/>
  <c r="AC140" i="4" s="1"/>
  <c r="Z139" i="4"/>
  <c r="AC139" i="4" s="1"/>
  <c r="Z136" i="4"/>
  <c r="AC136" i="4" s="1"/>
  <c r="AB138" i="4"/>
  <c r="AC138" i="4" s="1"/>
  <c r="AB137" i="4"/>
  <c r="AC137" i="4" s="1"/>
  <c r="T132" i="4"/>
  <c r="T133" i="4"/>
  <c r="AB133" i="4" s="1"/>
  <c r="T134" i="4"/>
  <c r="Z134" i="4" s="1"/>
  <c r="T135" i="4"/>
  <c r="Z135" i="4" s="1"/>
  <c r="AB135" i="4" l="1"/>
  <c r="AC135" i="4" s="1"/>
  <c r="AB134" i="4"/>
  <c r="AC134" i="4" s="1"/>
  <c r="Z133" i="4"/>
  <c r="AC133" i="4" s="1"/>
  <c r="S21" i="1"/>
  <c r="Y21" i="1" s="1"/>
  <c r="S22" i="1"/>
  <c r="Z22" i="1" s="1"/>
  <c r="S23" i="1"/>
  <c r="Z23" i="1" s="1"/>
  <c r="S24" i="1"/>
  <c r="Z24" i="1" s="1"/>
  <c r="S25" i="1"/>
  <c r="Z21" i="1" l="1"/>
  <c r="AA21" i="1" s="1"/>
  <c r="Z25" i="1"/>
  <c r="Y25" i="1"/>
  <c r="Y24" i="1"/>
  <c r="AA24" i="1" s="1"/>
  <c r="Y23" i="1"/>
  <c r="AA23" i="1" s="1"/>
  <c r="Y22" i="1"/>
  <c r="AA22" i="1" s="1"/>
  <c r="T127" i="4"/>
  <c r="T128" i="4"/>
  <c r="T129" i="4"/>
  <c r="T130" i="4"/>
  <c r="T131" i="4"/>
  <c r="AA25" i="1" l="1"/>
  <c r="V207" i="6"/>
  <c r="V205" i="6"/>
  <c r="S198" i="6"/>
  <c r="AB127" i="4" l="1"/>
  <c r="AB128" i="4"/>
  <c r="AB129" i="4"/>
  <c r="AB130" i="4"/>
  <c r="T123" i="4"/>
  <c r="Z123" i="4" s="1"/>
  <c r="T124" i="4"/>
  <c r="AB124" i="4" s="1"/>
  <c r="T125" i="4"/>
  <c r="Z125" i="4" s="1"/>
  <c r="T126" i="4"/>
  <c r="Z126" i="4" s="1"/>
  <c r="AB131" i="4"/>
  <c r="AB132" i="4"/>
  <c r="Z127" i="4"/>
  <c r="Z128" i="4"/>
  <c r="Z129" i="4"/>
  <c r="Z130" i="4"/>
  <c r="Z131" i="4"/>
  <c r="Z132" i="4"/>
  <c r="AC128" i="4" l="1"/>
  <c r="AC132" i="4"/>
  <c r="AC127" i="4"/>
  <c r="Z124" i="4"/>
  <c r="AC124" i="4" s="1"/>
  <c r="AC131" i="4"/>
  <c r="AC129" i="4"/>
  <c r="AB125" i="4"/>
  <c r="AC125" i="4" s="1"/>
  <c r="AB123" i="4"/>
  <c r="AC123" i="4" s="1"/>
  <c r="AC130" i="4"/>
  <c r="AB126" i="4"/>
  <c r="AC126" i="4" s="1"/>
  <c r="S152" i="6"/>
  <c r="T118" i="4" l="1"/>
  <c r="Z118" i="4" s="1"/>
  <c r="T119" i="4"/>
  <c r="AB119" i="4" s="1"/>
  <c r="T120" i="4"/>
  <c r="AB120" i="4" s="1"/>
  <c r="T121" i="4"/>
  <c r="T122" i="4"/>
  <c r="Y19" i="2"/>
  <c r="R18" i="2"/>
  <c r="X18" i="2" s="1"/>
  <c r="X17" i="2"/>
  <c r="X19" i="2"/>
  <c r="R17" i="2"/>
  <c r="Y17" i="2"/>
  <c r="Z19" i="2" l="1"/>
  <c r="Z17" i="2"/>
  <c r="Y18" i="2"/>
  <c r="Z18" i="2" s="1"/>
  <c r="Z121" i="4"/>
  <c r="AB121" i="4"/>
  <c r="Z122" i="4"/>
  <c r="AB122" i="4"/>
  <c r="AB118" i="4"/>
  <c r="AC118" i="4" s="1"/>
  <c r="Z119" i="4"/>
  <c r="AC119" i="4" s="1"/>
  <c r="Z120" i="4"/>
  <c r="AC120" i="4" s="1"/>
  <c r="U203" i="6"/>
  <c r="S203" i="6"/>
  <c r="AC121" i="4" l="1"/>
  <c r="AC122" i="4"/>
  <c r="V203" i="6"/>
  <c r="R16" i="2"/>
  <c r="X16" i="2" s="1"/>
  <c r="U201" i="6"/>
  <c r="U202" i="6"/>
  <c r="S202" i="6"/>
  <c r="S201" i="6"/>
  <c r="S193" i="6"/>
  <c r="Y16" i="2" l="1"/>
  <c r="Z16" i="2" s="1"/>
  <c r="V202" i="6"/>
  <c r="R5" i="3"/>
  <c r="Z5" i="3" s="1"/>
  <c r="R4" i="3"/>
  <c r="X4" i="3" s="1"/>
  <c r="Z4" i="3" l="1"/>
  <c r="AA4" i="3" s="1"/>
  <c r="X5" i="3"/>
  <c r="AA5" i="3" s="1"/>
  <c r="S199" i="6"/>
  <c r="T109" i="4" l="1"/>
  <c r="T110" i="4"/>
  <c r="Z110" i="4" s="1"/>
  <c r="T111" i="4"/>
  <c r="Z111" i="4" s="1"/>
  <c r="T112" i="4"/>
  <c r="Z112" i="4" s="1"/>
  <c r="T113" i="4"/>
  <c r="Z113" i="4" s="1"/>
  <c r="T114" i="4"/>
  <c r="Z114" i="4" s="1"/>
  <c r="T115" i="4"/>
  <c r="T116" i="4"/>
  <c r="T117" i="4"/>
  <c r="Z116" i="4" l="1"/>
  <c r="AB116" i="4"/>
  <c r="AB115" i="4"/>
  <c r="Z115" i="4"/>
  <c r="AB117" i="4"/>
  <c r="Z117" i="4"/>
  <c r="AB114" i="4"/>
  <c r="AC114" i="4" s="1"/>
  <c r="AB113" i="4"/>
  <c r="AC113" i="4" s="1"/>
  <c r="AB112" i="4"/>
  <c r="AC112" i="4" s="1"/>
  <c r="AB111" i="4"/>
  <c r="AC111" i="4" s="1"/>
  <c r="AB110" i="4"/>
  <c r="AC110" i="4" s="1"/>
  <c r="AB109" i="4"/>
  <c r="AC109" i="4" s="1"/>
  <c r="T108" i="4"/>
  <c r="Z108" i="4" s="1"/>
  <c r="AC115" i="4" l="1"/>
  <c r="AC117" i="4"/>
  <c r="AC116" i="4"/>
  <c r="AB108" i="4"/>
  <c r="AC108" i="4" s="1"/>
  <c r="S197" i="6"/>
  <c r="T107" i="4" l="1"/>
  <c r="Z107" i="4" s="1"/>
  <c r="AB107" i="4" l="1"/>
  <c r="AC107" i="4" s="1"/>
  <c r="U196" i="6"/>
  <c r="U197" i="6"/>
  <c r="V197" i="6" s="1"/>
  <c r="U198" i="6"/>
  <c r="V198" i="6" s="1"/>
  <c r="U199" i="6"/>
  <c r="V199" i="6" s="1"/>
  <c r="U200" i="6"/>
  <c r="V200" i="6" s="1"/>
  <c r="V201" i="6"/>
  <c r="S196" i="6"/>
  <c r="V196" i="6" l="1"/>
  <c r="S194" i="6"/>
  <c r="U194" i="6"/>
  <c r="U195" i="6"/>
  <c r="V195" i="6" s="1"/>
  <c r="U192" i="6"/>
  <c r="U193" i="6"/>
  <c r="S192" i="6"/>
  <c r="T43" i="5"/>
  <c r="S37" i="5"/>
  <c r="S38" i="5"/>
  <c r="S39" i="5"/>
  <c r="S40" i="5"/>
  <c r="S41" i="5"/>
  <c r="S42" i="5"/>
  <c r="R37" i="5"/>
  <c r="R38" i="5"/>
  <c r="R39" i="5"/>
  <c r="R40" i="5"/>
  <c r="R41" i="5"/>
  <c r="R42" i="5"/>
  <c r="S35" i="5"/>
  <c r="T35" i="5" s="1"/>
  <c r="S36" i="5"/>
  <c r="R36" i="5"/>
  <c r="S13" i="1"/>
  <c r="Z13" i="1" s="1"/>
  <c r="S14" i="1"/>
  <c r="Y14" i="1" s="1"/>
  <c r="S15" i="1"/>
  <c r="Y15" i="1" s="1"/>
  <c r="S16" i="1"/>
  <c r="Z16" i="1" s="1"/>
  <c r="S17" i="1"/>
  <c r="Z17" i="1" s="1"/>
  <c r="S18" i="1"/>
  <c r="Z18" i="1" s="1"/>
  <c r="S19" i="1"/>
  <c r="S20" i="1"/>
  <c r="T106" i="4"/>
  <c r="AB106" i="4" s="1"/>
  <c r="T105" i="4"/>
  <c r="Z105" i="4" s="1"/>
  <c r="S12" i="1"/>
  <c r="Z12" i="1" s="1"/>
  <c r="S11" i="1"/>
  <c r="S10" i="1"/>
  <c r="T104" i="4"/>
  <c r="AB104" i="4" s="1"/>
  <c r="Y20" i="1" l="1"/>
  <c r="Z20" i="1"/>
  <c r="Y13" i="1"/>
  <c r="AA13" i="1" s="1"/>
  <c r="Y19" i="1"/>
  <c r="Z19" i="1"/>
  <c r="Y18" i="1"/>
  <c r="AA18" i="1" s="1"/>
  <c r="Y17" i="1"/>
  <c r="AA17" i="1" s="1"/>
  <c r="Y16" i="1"/>
  <c r="AA16" i="1" s="1"/>
  <c r="V192" i="6"/>
  <c r="Z15" i="1"/>
  <c r="AA15" i="1" s="1"/>
  <c r="Z14" i="1"/>
  <c r="AA14" i="1" s="1"/>
  <c r="V193" i="6"/>
  <c r="T36" i="5"/>
  <c r="T42" i="5"/>
  <c r="T37" i="5"/>
  <c r="T40" i="5"/>
  <c r="T39" i="5"/>
  <c r="T38" i="5"/>
  <c r="T41" i="5"/>
  <c r="AB105" i="4"/>
  <c r="AC105" i="4" s="1"/>
  <c r="Z104" i="4"/>
  <c r="AC104" i="4" s="1"/>
  <c r="Z106" i="4"/>
  <c r="AC106" i="4" s="1"/>
  <c r="V194" i="6"/>
  <c r="Y12" i="1"/>
  <c r="AA12" i="1" s="1"/>
  <c r="T103" i="4"/>
  <c r="AB103" i="4" s="1"/>
  <c r="Z10" i="1"/>
  <c r="Z11" i="1"/>
  <c r="Y10" i="1"/>
  <c r="Y11" i="1"/>
  <c r="S9" i="1"/>
  <c r="Y9" i="1" s="1"/>
  <c r="AA19" i="1" l="1"/>
  <c r="AA20" i="1"/>
  <c r="Z9" i="1"/>
  <c r="AA9" i="1" s="1"/>
  <c r="AA10" i="1"/>
  <c r="AA11" i="1"/>
  <c r="Z103" i="4"/>
  <c r="AC103" i="4" s="1"/>
  <c r="T102" i="4"/>
  <c r="Z102" i="4" s="1"/>
  <c r="U191" i="6"/>
  <c r="V191" i="6" s="1"/>
  <c r="U190" i="6"/>
  <c r="S190" i="6"/>
  <c r="V190" i="6" l="1"/>
  <c r="AB102" i="4"/>
  <c r="AC102" i="4" s="1"/>
  <c r="Z8" i="1"/>
  <c r="Y8" i="1"/>
  <c r="AA8" i="1" l="1"/>
  <c r="T101" i="4"/>
  <c r="T100" i="4"/>
  <c r="AB100" i="4" s="1"/>
  <c r="U188" i="6"/>
  <c r="U189" i="6"/>
  <c r="S188" i="6"/>
  <c r="S189" i="6"/>
  <c r="V189" i="6" l="1"/>
  <c r="V188" i="6"/>
  <c r="AB101" i="4"/>
  <c r="Z101" i="4"/>
  <c r="Z100" i="4"/>
  <c r="U187" i="6"/>
  <c r="S187" i="6"/>
  <c r="V187" i="6" l="1"/>
  <c r="AC101" i="4"/>
  <c r="Z7" i="1"/>
  <c r="Y7" i="1"/>
  <c r="AA7" i="1" l="1"/>
  <c r="U184" i="6"/>
  <c r="U185" i="6"/>
  <c r="U186" i="6"/>
  <c r="S186" i="6"/>
  <c r="V186" i="6" l="1"/>
  <c r="S185" i="6"/>
  <c r="V185" i="6" s="1"/>
  <c r="S184" i="6"/>
  <c r="V184" i="6" s="1"/>
  <c r="U183" i="6" l="1"/>
  <c r="V183" i="6" s="1"/>
  <c r="U182" i="6" l="1"/>
  <c r="V182" i="6" s="1"/>
  <c r="U181" i="6"/>
  <c r="S181" i="6"/>
  <c r="U180" i="6"/>
  <c r="V181" i="6" l="1"/>
  <c r="V180" i="6"/>
  <c r="U179" i="6"/>
  <c r="S179" i="6"/>
  <c r="T97" i="4"/>
  <c r="AB97" i="4" l="1"/>
  <c r="Z97" i="4"/>
  <c r="V179" i="6"/>
  <c r="U178" i="6"/>
  <c r="S178" i="6"/>
  <c r="AC100" i="4"/>
  <c r="T96" i="4"/>
  <c r="AB96" i="4" s="1"/>
  <c r="AC96" i="4" s="1"/>
  <c r="T98" i="4"/>
  <c r="T99" i="4"/>
  <c r="AC97" i="4" l="1"/>
  <c r="V178" i="6"/>
  <c r="AB99" i="4"/>
  <c r="Z99" i="4"/>
  <c r="AB98" i="4"/>
  <c r="Z98" i="4"/>
  <c r="U177" i="6"/>
  <c r="S177" i="6"/>
  <c r="U176" i="6"/>
  <c r="S176" i="6"/>
  <c r="V177" i="6" l="1"/>
  <c r="AC99" i="4"/>
  <c r="V176" i="6"/>
  <c r="AC98" i="4"/>
  <c r="S125" i="6"/>
  <c r="S34" i="5" l="1"/>
  <c r="T34" i="5" s="1"/>
  <c r="S149" i="6" l="1"/>
  <c r="S139" i="6"/>
  <c r="S133" i="6"/>
  <c r="U175" i="6" l="1"/>
  <c r="S175" i="6"/>
  <c r="U174" i="6"/>
  <c r="S174" i="6"/>
  <c r="U173" i="6"/>
  <c r="U172" i="6"/>
  <c r="S172" i="6"/>
  <c r="S173" i="6"/>
  <c r="V173" i="6" l="1"/>
  <c r="V175" i="6"/>
  <c r="V174" i="6"/>
  <c r="V172" i="6"/>
  <c r="T95" i="4"/>
  <c r="AB95" i="4" s="1"/>
  <c r="Z95" i="4" l="1"/>
  <c r="AC95" i="4" s="1"/>
  <c r="T94" i="4"/>
  <c r="AB94" i="4" s="1"/>
  <c r="AC94" i="4" s="1"/>
  <c r="U171" i="6"/>
  <c r="S171" i="6"/>
  <c r="U170" i="6"/>
  <c r="S170" i="6"/>
  <c r="L170" i="6"/>
  <c r="U169" i="6"/>
  <c r="V169" i="6" s="1"/>
  <c r="V171" i="6" l="1"/>
  <c r="V170" i="6"/>
  <c r="U168" i="6"/>
  <c r="S168" i="6"/>
  <c r="U167" i="6"/>
  <c r="S167" i="6"/>
  <c r="S165" i="6"/>
  <c r="V167" i="6" l="1"/>
  <c r="V168" i="6"/>
  <c r="U165" i="6"/>
  <c r="V165" i="6" s="1"/>
  <c r="S33" i="5"/>
  <c r="R33" i="5"/>
  <c r="R32" i="5"/>
  <c r="S32" i="5"/>
  <c r="T33" i="5" l="1"/>
  <c r="V35" i="5"/>
  <c r="V33" i="5"/>
  <c r="V34" i="5" s="1"/>
  <c r="T32" i="5"/>
  <c r="S166" i="6"/>
  <c r="U166" i="6"/>
  <c r="U164" i="6"/>
  <c r="S164" i="6"/>
  <c r="L164" i="6"/>
  <c r="L165" i="6" s="1"/>
  <c r="L166" i="6" s="1"/>
  <c r="K164" i="6"/>
  <c r="K165" i="6" s="1"/>
  <c r="V164" i="6" l="1"/>
  <c r="V166" i="6"/>
  <c r="S163" i="6"/>
  <c r="U163" i="6" l="1"/>
  <c r="V163" i="6" s="1"/>
  <c r="K162" i="6"/>
  <c r="L162" i="6"/>
  <c r="M162" i="6"/>
  <c r="U162" i="6" s="1"/>
  <c r="N162" i="6"/>
  <c r="S162" i="6" l="1"/>
  <c r="V162" i="6" s="1"/>
  <c r="T23" i="7"/>
  <c r="X23" i="7" s="1"/>
  <c r="T24" i="7"/>
  <c r="X24" i="7" s="1"/>
  <c r="T25" i="7"/>
  <c r="W25" i="7" s="1"/>
  <c r="T26" i="7"/>
  <c r="W26" i="7" s="1"/>
  <c r="W23" i="7" l="1"/>
  <c r="Y23" i="7" s="1"/>
  <c r="X25" i="7"/>
  <c r="Y25" i="7" s="1"/>
  <c r="X26" i="7"/>
  <c r="Y26" i="7" s="1"/>
  <c r="W24" i="7"/>
  <c r="Y24" i="7" s="1"/>
  <c r="U161" i="6"/>
  <c r="V161" i="6" s="1"/>
  <c r="U160" i="6" l="1"/>
  <c r="S160" i="6"/>
  <c r="V160" i="6" l="1"/>
  <c r="U159" i="6"/>
  <c r="S159" i="6"/>
  <c r="V159" i="6" l="1"/>
  <c r="U157" i="6"/>
  <c r="U158" i="6"/>
  <c r="V158" i="6" s="1"/>
  <c r="S157" i="6"/>
  <c r="V157" i="6" l="1"/>
  <c r="U156" i="6"/>
  <c r="V156" i="6" s="1"/>
  <c r="U155" i="6"/>
  <c r="S155" i="6"/>
  <c r="V155" i="6" l="1"/>
  <c r="T93" i="4"/>
  <c r="AB93" i="4" s="1"/>
  <c r="S30" i="5" l="1"/>
  <c r="T30" i="5" s="1"/>
  <c r="S31" i="5"/>
  <c r="T31" i="5" s="1"/>
  <c r="U153" i="6"/>
  <c r="U152" i="6"/>
  <c r="U154" i="6"/>
  <c r="S154" i="6"/>
  <c r="V154" i="6" l="1"/>
  <c r="V152" i="6"/>
  <c r="V153" i="6"/>
  <c r="U151" i="6"/>
  <c r="S151" i="6"/>
  <c r="V151" i="6" l="1"/>
  <c r="U150" i="6"/>
  <c r="S150" i="6"/>
  <c r="U149" i="6"/>
  <c r="V149" i="6" l="1"/>
  <c r="V150" i="6"/>
  <c r="S29" i="5" l="1"/>
  <c r="T29" i="5" s="1"/>
  <c r="U144" i="6"/>
  <c r="U145" i="6"/>
  <c r="U146" i="6"/>
  <c r="U147" i="6"/>
  <c r="U148" i="6"/>
  <c r="V148" i="6" s="1"/>
  <c r="S147" i="6"/>
  <c r="S145" i="6"/>
  <c r="S146" i="6"/>
  <c r="S144" i="6"/>
  <c r="V145" i="6" l="1"/>
  <c r="V147" i="6"/>
  <c r="V146" i="6"/>
  <c r="T19" i="7"/>
  <c r="X19" i="7" s="1"/>
  <c r="T20" i="7"/>
  <c r="X20" i="7" s="1"/>
  <c r="T21" i="7"/>
  <c r="X21" i="7" s="1"/>
  <c r="T22" i="7"/>
  <c r="X22" i="7" s="1"/>
  <c r="AC93" i="4"/>
  <c r="T87" i="4"/>
  <c r="AB87" i="4" s="1"/>
  <c r="T88" i="4"/>
  <c r="Z88" i="4" s="1"/>
  <c r="T89" i="4"/>
  <c r="AB89" i="4" s="1"/>
  <c r="T90" i="4"/>
  <c r="AB90" i="4" s="1"/>
  <c r="T91" i="4"/>
  <c r="Z91" i="4" s="1"/>
  <c r="T92" i="4"/>
  <c r="Z92" i="4" s="1"/>
  <c r="W19" i="7" l="1"/>
  <c r="Y19" i="7" s="1"/>
  <c r="W22" i="7"/>
  <c r="Y22" i="7" s="1"/>
  <c r="Z87" i="4"/>
  <c r="AC87" i="4" s="1"/>
  <c r="AB92" i="4"/>
  <c r="AC92" i="4" s="1"/>
  <c r="AB91" i="4"/>
  <c r="AC91" i="4" s="1"/>
  <c r="Z90" i="4"/>
  <c r="AC90" i="4" s="1"/>
  <c r="Z89" i="4"/>
  <c r="AC89" i="4" s="1"/>
  <c r="AB88" i="4"/>
  <c r="AC88" i="4" s="1"/>
  <c r="W21" i="7"/>
  <c r="Y21" i="7" s="1"/>
  <c r="W20" i="7"/>
  <c r="Y20" i="7" s="1"/>
  <c r="V144" i="6"/>
  <c r="U143" i="6"/>
  <c r="V143" i="6" s="1"/>
  <c r="U142" i="6"/>
  <c r="S142" i="6"/>
  <c r="V142" i="6" l="1"/>
  <c r="T86" i="4"/>
  <c r="AB86" i="4" s="1"/>
  <c r="U141" i="6"/>
  <c r="S141" i="6"/>
  <c r="V141" i="6" l="1"/>
  <c r="Z86" i="4"/>
  <c r="AC86" i="4" s="1"/>
  <c r="S140" i="6"/>
  <c r="U139" i="6" l="1"/>
  <c r="U140" i="6"/>
  <c r="V140" i="6" s="1"/>
  <c r="U138" i="6"/>
  <c r="V138" i="6" s="1"/>
  <c r="V139" i="6" l="1"/>
  <c r="S137" i="6"/>
  <c r="U136" i="6" l="1"/>
  <c r="U135" i="6" l="1"/>
  <c r="U137" i="6"/>
  <c r="T80" i="4" l="1"/>
  <c r="U134" i="6"/>
  <c r="S134" i="6"/>
  <c r="V134" i="6" l="1"/>
  <c r="U133" i="6"/>
  <c r="U132" i="6"/>
  <c r="S132" i="6"/>
  <c r="V132" i="6" l="1"/>
  <c r="V133" i="6"/>
  <c r="S131" i="6"/>
  <c r="S135" i="6"/>
  <c r="V135" i="6" s="1"/>
  <c r="S136" i="6"/>
  <c r="V136" i="6" s="1"/>
  <c r="V137" i="6"/>
  <c r="U128" i="6" l="1"/>
  <c r="U129" i="6"/>
  <c r="U130" i="6"/>
  <c r="U131" i="6"/>
  <c r="V131" i="6" s="1"/>
  <c r="S128" i="6"/>
  <c r="S129" i="6"/>
  <c r="S130" i="6"/>
  <c r="S127" i="6"/>
  <c r="V128" i="6" l="1"/>
  <c r="V130" i="6"/>
  <c r="V129" i="6"/>
  <c r="S28" i="5"/>
  <c r="S126" i="6"/>
  <c r="T28" i="5" l="1"/>
  <c r="S27" i="5"/>
  <c r="R27" i="5"/>
  <c r="T27" i="5" l="1"/>
  <c r="T78" i="4"/>
  <c r="T79" i="4"/>
  <c r="T81" i="4"/>
  <c r="T82" i="4"/>
  <c r="AB82" i="4" s="1"/>
  <c r="T83" i="4"/>
  <c r="AB83" i="4" s="1"/>
  <c r="T84" i="4"/>
  <c r="AB84" i="4" s="1"/>
  <c r="T85" i="4"/>
  <c r="AB85" i="4" s="1"/>
  <c r="U124" i="6"/>
  <c r="S124" i="6"/>
  <c r="S26" i="5" l="1"/>
  <c r="R26" i="5"/>
  <c r="T26" i="5" l="1"/>
  <c r="S122" i="6" l="1"/>
  <c r="S121" i="6" l="1"/>
  <c r="Y121" i="6" s="1"/>
  <c r="S120" i="6"/>
  <c r="S25" i="5" l="1"/>
  <c r="R25" i="5"/>
  <c r="U121" i="6" l="1"/>
  <c r="V121" i="6" s="1"/>
  <c r="U122" i="6"/>
  <c r="V122" i="6" s="1"/>
  <c r="U123" i="6"/>
  <c r="V123" i="6" s="1"/>
  <c r="V124" i="6"/>
  <c r="U125" i="6"/>
  <c r="V125" i="6" s="1"/>
  <c r="U126" i="6"/>
  <c r="V126" i="6" s="1"/>
  <c r="U127" i="6"/>
  <c r="V127" i="6" s="1"/>
  <c r="U120" i="6"/>
  <c r="V120" i="6" s="1"/>
  <c r="AB78" i="4" l="1"/>
  <c r="AB79" i="4"/>
  <c r="AB80" i="4"/>
  <c r="AB81" i="4"/>
  <c r="Z78" i="4"/>
  <c r="Z79" i="4"/>
  <c r="Z80" i="4"/>
  <c r="Z81" i="4"/>
  <c r="Z82" i="4"/>
  <c r="AC82" i="4" s="1"/>
  <c r="Z83" i="4"/>
  <c r="AC83" i="4" s="1"/>
  <c r="Z84" i="4"/>
  <c r="AC84" i="4" s="1"/>
  <c r="Z85" i="4"/>
  <c r="AC85" i="4" s="1"/>
  <c r="T68" i="4"/>
  <c r="AB68" i="4" s="1"/>
  <c r="T69" i="4"/>
  <c r="AB69" i="4" s="1"/>
  <c r="T70" i="4"/>
  <c r="AB70" i="4" s="1"/>
  <c r="T71" i="4"/>
  <c r="Z71" i="4" s="1"/>
  <c r="T72" i="4"/>
  <c r="Z72" i="4" s="1"/>
  <c r="T73" i="4"/>
  <c r="AB73" i="4" s="1"/>
  <c r="T74" i="4"/>
  <c r="AB74" i="4" s="1"/>
  <c r="T75" i="4"/>
  <c r="Z75" i="4" s="1"/>
  <c r="T76" i="4"/>
  <c r="T77" i="4"/>
  <c r="AB77" i="4" s="1"/>
  <c r="S116" i="6"/>
  <c r="S117" i="6"/>
  <c r="S118" i="6"/>
  <c r="U119" i="6"/>
  <c r="AB76" i="4" l="1"/>
  <c r="Z76" i="4"/>
  <c r="Z77" i="4"/>
  <c r="Z68" i="4"/>
  <c r="Z70" i="4"/>
  <c r="Z69" i="4"/>
  <c r="AB75" i="4"/>
  <c r="Z74" i="4"/>
  <c r="Z73" i="4"/>
  <c r="AB72" i="4"/>
  <c r="AB71" i="4"/>
  <c r="S24" i="5"/>
  <c r="T15" i="7" l="1"/>
  <c r="X15" i="7" s="1"/>
  <c r="T16" i="7"/>
  <c r="W16" i="7" s="1"/>
  <c r="T17" i="7"/>
  <c r="W17" i="7" s="1"/>
  <c r="T18" i="7"/>
  <c r="X18" i="7" s="1"/>
  <c r="W15" i="7" l="1"/>
  <c r="Y15" i="7" s="1"/>
  <c r="X16" i="7"/>
  <c r="Y16" i="7" s="1"/>
  <c r="W18" i="7"/>
  <c r="Y18" i="7" s="1"/>
  <c r="X17" i="7"/>
  <c r="Y17" i="7" s="1"/>
  <c r="U118" i="6"/>
  <c r="V118" i="6" s="1"/>
  <c r="T67" i="4"/>
  <c r="AB67" i="4" s="1"/>
  <c r="U117" i="6"/>
  <c r="U116" i="6"/>
  <c r="Z67" i="4" l="1"/>
  <c r="AC67" i="4" s="1"/>
  <c r="AC68" i="4"/>
  <c r="AC69" i="4"/>
  <c r="AC70" i="4"/>
  <c r="AC71" i="4"/>
  <c r="AC72" i="4"/>
  <c r="AC73" i="4"/>
  <c r="AC74" i="4"/>
  <c r="AC75" i="4"/>
  <c r="AC76" i="4"/>
  <c r="AC77" i="4"/>
  <c r="AC78" i="4"/>
  <c r="AC79" i="4"/>
  <c r="AC80" i="4"/>
  <c r="AC81" i="4"/>
  <c r="T66" i="4"/>
  <c r="T65" i="4"/>
  <c r="V117" i="6" l="1"/>
  <c r="V119" i="6"/>
  <c r="U115" i="6"/>
  <c r="V116" i="6"/>
  <c r="S115" i="6"/>
  <c r="T25" i="5"/>
  <c r="R23" i="5"/>
  <c r="R24" i="5"/>
  <c r="T24" i="5" s="1"/>
  <c r="S23" i="5"/>
  <c r="AB65" i="4"/>
  <c r="AB66" i="4"/>
  <c r="T63" i="4"/>
  <c r="Z63" i="4" s="1"/>
  <c r="T64" i="4"/>
  <c r="Z64" i="4" s="1"/>
  <c r="Z65" i="4"/>
  <c r="Z66" i="4"/>
  <c r="T23" i="5" l="1"/>
  <c r="AC66" i="4"/>
  <c r="AC65" i="4"/>
  <c r="V115" i="6"/>
  <c r="AB64" i="4"/>
  <c r="AC64" i="4" s="1"/>
  <c r="T62" i="4"/>
  <c r="Z62" i="4" s="1"/>
  <c r="T14" i="7" l="1"/>
  <c r="X14" i="7" s="1"/>
  <c r="W14" i="7" l="1"/>
  <c r="Y14" i="7" s="1"/>
  <c r="S106" i="6"/>
  <c r="S101" i="6"/>
  <c r="S99" i="6"/>
  <c r="U114" i="6"/>
  <c r="S114" i="6"/>
  <c r="AB62" i="4"/>
  <c r="AC62" i="4" s="1"/>
  <c r="AB63" i="4"/>
  <c r="AC63" i="4" s="1"/>
  <c r="V114" i="6" l="1"/>
  <c r="U110" i="6"/>
  <c r="U111" i="6"/>
  <c r="U113" i="6"/>
  <c r="S111" i="6"/>
  <c r="S112" i="6"/>
  <c r="S113" i="6"/>
  <c r="V113" i="6" l="1"/>
  <c r="U112" i="6"/>
  <c r="V112" i="6" s="1"/>
  <c r="V111" i="6" l="1"/>
  <c r="S110" i="6"/>
  <c r="S109" i="6"/>
  <c r="S108" i="6"/>
  <c r="U107" i="6"/>
  <c r="V107" i="6" s="1"/>
  <c r="U108" i="6"/>
  <c r="U109" i="6"/>
  <c r="U106" i="6"/>
  <c r="V106" i="6" s="1"/>
  <c r="V108" i="6" l="1"/>
  <c r="V110" i="6"/>
  <c r="V109" i="6"/>
  <c r="T56" i="4"/>
  <c r="T57" i="4"/>
  <c r="T58" i="4"/>
  <c r="T59" i="4"/>
  <c r="T60" i="4"/>
  <c r="T61" i="4"/>
  <c r="T55" i="4"/>
  <c r="U105" i="6"/>
  <c r="S105" i="6"/>
  <c r="V105" i="6" l="1"/>
  <c r="Z57" i="4"/>
  <c r="AB57" i="4"/>
  <c r="AB61" i="4"/>
  <c r="Z61" i="4"/>
  <c r="AB60" i="4"/>
  <c r="Z60" i="4"/>
  <c r="AB59" i="4"/>
  <c r="Z59" i="4"/>
  <c r="AB58" i="4"/>
  <c r="Z58" i="4"/>
  <c r="S22" i="5"/>
  <c r="R22" i="5"/>
  <c r="U104" i="6"/>
  <c r="S104" i="6"/>
  <c r="U103" i="6"/>
  <c r="V103" i="6" s="1"/>
  <c r="T22" i="5" l="1"/>
  <c r="V104" i="6"/>
  <c r="AC58" i="4"/>
  <c r="AC60" i="4"/>
  <c r="AC59" i="4"/>
  <c r="AC61" i="4"/>
  <c r="AC57" i="4"/>
  <c r="U102" i="6"/>
  <c r="S102" i="6"/>
  <c r="U101" i="6"/>
  <c r="V101" i="6" s="1"/>
  <c r="S100" i="6"/>
  <c r="T100" i="6" s="1"/>
  <c r="V102" i="6" l="1"/>
  <c r="U100" i="6"/>
  <c r="V100" i="6" s="1"/>
  <c r="U99" i="6" l="1"/>
  <c r="V99" i="6" s="1"/>
  <c r="T54" i="4" l="1"/>
  <c r="T53" i="4"/>
  <c r="S21" i="5"/>
  <c r="R21" i="5"/>
  <c r="S20" i="5"/>
  <c r="R20" i="5"/>
  <c r="T21" i="5" l="1"/>
  <c r="T20" i="5"/>
  <c r="U98" i="6"/>
  <c r="S98" i="6"/>
  <c r="V98" i="6" l="1"/>
  <c r="U97" i="6"/>
  <c r="S97" i="6"/>
  <c r="V97" i="6" l="1"/>
  <c r="T51" i="4"/>
  <c r="Z51" i="4" s="1"/>
  <c r="AB51" i="4" l="1"/>
  <c r="AC51" i="4" s="1"/>
  <c r="U96" i="6" l="1"/>
  <c r="V96" i="6" s="1"/>
  <c r="U95" i="6"/>
  <c r="S95" i="6"/>
  <c r="V95" i="6" l="1"/>
  <c r="Z53" i="4"/>
  <c r="Z54" i="4"/>
  <c r="Z55" i="4"/>
  <c r="Z56" i="4"/>
  <c r="AB53" i="4"/>
  <c r="AB54" i="4"/>
  <c r="AB55" i="4"/>
  <c r="AB56" i="4"/>
  <c r="AC53" i="4" l="1"/>
  <c r="AC56" i="4"/>
  <c r="AC54" i="4"/>
  <c r="AC55" i="4"/>
  <c r="T48" i="4"/>
  <c r="T49" i="4"/>
  <c r="T50" i="4"/>
  <c r="T52" i="4"/>
  <c r="Z49" i="4" l="1"/>
  <c r="AB49" i="4"/>
  <c r="Z52" i="4"/>
  <c r="AB52" i="4"/>
  <c r="Z50" i="4"/>
  <c r="AB50" i="4"/>
  <c r="U94" i="6"/>
  <c r="S94" i="6"/>
  <c r="V94" i="6" l="1"/>
  <c r="AC50" i="4"/>
  <c r="AC49" i="4"/>
  <c r="AC52" i="4"/>
  <c r="T13" i="7"/>
  <c r="W13" i="7" s="1"/>
  <c r="X13" i="7" l="1"/>
  <c r="Y13" i="7" s="1"/>
  <c r="U92" i="6"/>
  <c r="U93" i="6"/>
  <c r="S93" i="6"/>
  <c r="V93" i="6" l="1"/>
  <c r="V92" i="6"/>
  <c r="U80" i="6"/>
  <c r="U81" i="6"/>
  <c r="U82" i="6"/>
  <c r="U83" i="6"/>
  <c r="U84" i="6"/>
  <c r="U85" i="6"/>
  <c r="U87" i="6"/>
  <c r="U86" i="6"/>
  <c r="U88" i="6"/>
  <c r="U89" i="6"/>
  <c r="U90" i="6"/>
  <c r="U91" i="6"/>
  <c r="S91" i="6"/>
  <c r="Z48" i="4"/>
  <c r="T46" i="4"/>
  <c r="V91" i="6" l="1"/>
  <c r="S90" i="6" l="1"/>
  <c r="V90" i="6" l="1"/>
  <c r="S89" i="6"/>
  <c r="V89" i="6" l="1"/>
  <c r="S87" i="6" l="1"/>
  <c r="S88" i="6"/>
  <c r="V87" i="6" l="1"/>
  <c r="V88" i="6"/>
  <c r="S85" i="6"/>
  <c r="S86" i="6"/>
  <c r="V86" i="6" l="1"/>
  <c r="AB48" i="4" l="1"/>
  <c r="AC48" i="4" s="1"/>
  <c r="T41" i="4"/>
  <c r="Z41" i="4" s="1"/>
  <c r="T42" i="4"/>
  <c r="T43" i="4"/>
  <c r="AB43" i="4" s="1"/>
  <c r="T44" i="4"/>
  <c r="AB44" i="4" s="1"/>
  <c r="T45" i="4"/>
  <c r="Z45" i="4" s="1"/>
  <c r="AB46" i="4"/>
  <c r="T47" i="4"/>
  <c r="Z47" i="4" s="1"/>
  <c r="AB41" i="4" l="1"/>
  <c r="AC41" i="4" s="1"/>
  <c r="AB42" i="4"/>
  <c r="Z42" i="4"/>
  <c r="AF46" i="4" s="1"/>
  <c r="AB47" i="4"/>
  <c r="AC47" i="4" s="1"/>
  <c r="Z43" i="4"/>
  <c r="AC43" i="4" s="1"/>
  <c r="Z46" i="4"/>
  <c r="AC46" i="4" s="1"/>
  <c r="AB45" i="4"/>
  <c r="AC45" i="4" s="1"/>
  <c r="Z44" i="4"/>
  <c r="AC44" i="4" s="1"/>
  <c r="AC42" i="4" l="1"/>
  <c r="T12" i="7"/>
  <c r="S19" i="5"/>
  <c r="R19" i="5"/>
  <c r="Z83" i="6"/>
  <c r="T19" i="5" l="1"/>
  <c r="X12" i="7"/>
  <c r="W12" i="7"/>
  <c r="T40" i="4"/>
  <c r="AB40" i="4" s="1"/>
  <c r="Y12" i="7" l="1"/>
  <c r="Z40" i="4"/>
  <c r="AC40" i="4" s="1"/>
  <c r="T39" i="4"/>
  <c r="AB39" i="4" s="1"/>
  <c r="Z39" i="4" l="1"/>
  <c r="AC39" i="4" s="1"/>
  <c r="S18" i="5"/>
  <c r="R18" i="5"/>
  <c r="T18" i="5" l="1"/>
  <c r="S84" i="6"/>
  <c r="S83" i="6"/>
  <c r="AB83" i="6"/>
  <c r="V83" i="6" l="1"/>
  <c r="AC83" i="6"/>
  <c r="V84" i="6"/>
  <c r="S71" i="6"/>
  <c r="S69" i="6"/>
  <c r="S82" i="6" l="1"/>
  <c r="V82" i="6" l="1"/>
  <c r="V85" i="6"/>
  <c r="S81" i="6"/>
  <c r="S80" i="6"/>
  <c r="V81" i="6" l="1"/>
  <c r="V80" i="6"/>
  <c r="S72" i="6"/>
  <c r="U79" i="6" l="1"/>
  <c r="S79" i="6"/>
  <c r="V79" i="6" l="1"/>
  <c r="U78" i="6"/>
  <c r="S78" i="6"/>
  <c r="V78" i="6" l="1"/>
  <c r="S74" i="6"/>
  <c r="U77" i="6" l="1"/>
  <c r="V77" i="6" s="1"/>
  <c r="S17" i="5" l="1"/>
  <c r="R17" i="5"/>
  <c r="T17" i="5" l="1"/>
  <c r="S76" i="6"/>
  <c r="U76" i="6"/>
  <c r="U74" i="6"/>
  <c r="V76" i="6" l="1"/>
  <c r="T35" i="4"/>
  <c r="AB35" i="4" s="1"/>
  <c r="T36" i="4"/>
  <c r="Z36" i="4" s="1"/>
  <c r="T37" i="4"/>
  <c r="Z37" i="4" s="1"/>
  <c r="T38" i="4"/>
  <c r="Z38" i="4" s="1"/>
  <c r="T34" i="4"/>
  <c r="AB34" i="4" s="1"/>
  <c r="Z35" i="4" l="1"/>
  <c r="AC35" i="4" s="1"/>
  <c r="Z34" i="4"/>
  <c r="AC34" i="4" s="1"/>
  <c r="AB37" i="4"/>
  <c r="AC37" i="4" s="1"/>
  <c r="AB38" i="4"/>
  <c r="AC38" i="4" s="1"/>
  <c r="AB36" i="4"/>
  <c r="AC36" i="4" s="1"/>
  <c r="U75" i="6"/>
  <c r="S75" i="6"/>
  <c r="V75" i="6" l="1"/>
  <c r="V74" i="6"/>
  <c r="T33" i="4" l="1"/>
  <c r="AB33" i="4" s="1"/>
  <c r="U72" i="6"/>
  <c r="V72" i="6" s="1"/>
  <c r="U73" i="6"/>
  <c r="S73" i="6"/>
  <c r="T32" i="4"/>
  <c r="Z32" i="4" s="1"/>
  <c r="V73" i="6" l="1"/>
  <c r="AB32" i="4"/>
  <c r="AC32" i="4" s="1"/>
  <c r="Z33" i="4"/>
  <c r="AC33" i="4" s="1"/>
  <c r="T31" i="4"/>
  <c r="AB31" i="4" s="1"/>
  <c r="AC31" i="4" s="1"/>
  <c r="U71" i="6"/>
  <c r="U70" i="6"/>
  <c r="S70" i="6"/>
  <c r="U69" i="6"/>
  <c r="V69" i="6" s="1"/>
  <c r="U68" i="6"/>
  <c r="S68" i="6"/>
  <c r="V68" i="6" l="1"/>
  <c r="V70" i="6"/>
  <c r="V71" i="6"/>
  <c r="U67" i="6"/>
  <c r="S67" i="6"/>
  <c r="V67" i="6" l="1"/>
  <c r="W11" i="7"/>
  <c r="X11" i="7"/>
  <c r="T30" i="4"/>
  <c r="Z30" i="4" s="1"/>
  <c r="Y11" i="7" l="1"/>
  <c r="AB30" i="4"/>
  <c r="AC30" i="4" s="1"/>
  <c r="T29" i="4" l="1"/>
  <c r="AB29" i="4" s="1"/>
  <c r="Z29" i="4" l="1"/>
  <c r="AC29" i="4" s="1"/>
  <c r="S16" i="5"/>
  <c r="R16" i="5"/>
  <c r="T16" i="5" l="1"/>
  <c r="U66" i="6"/>
  <c r="S66" i="6"/>
  <c r="S65" i="6"/>
  <c r="U65" i="6"/>
  <c r="U64" i="6"/>
  <c r="V65" i="6" l="1"/>
  <c r="V66" i="6"/>
  <c r="S15" i="5"/>
  <c r="R15" i="5"/>
  <c r="T15" i="5" l="1"/>
  <c r="R14" i="5"/>
  <c r="S14" i="5"/>
  <c r="T14" i="5" l="1"/>
  <c r="S64" i="6"/>
  <c r="V64" i="6" s="1"/>
  <c r="X10" i="7" l="1"/>
  <c r="W10" i="7"/>
  <c r="Y10" i="7" l="1"/>
  <c r="S62" i="6"/>
  <c r="Z6" i="1" l="1"/>
  <c r="Y6" i="1"/>
  <c r="AA6" i="1" l="1"/>
  <c r="U63" i="6"/>
  <c r="V63" i="6" s="1"/>
  <c r="U62" i="6"/>
  <c r="V62" i="6" s="1"/>
  <c r="X9" i="7" l="1"/>
  <c r="W9" i="7"/>
  <c r="Y9" i="7" l="1"/>
  <c r="U61" i="6"/>
  <c r="S61" i="6"/>
  <c r="V61" i="6" l="1"/>
  <c r="U60" i="6"/>
  <c r="S60" i="6"/>
  <c r="V60" i="6" l="1"/>
  <c r="Y5" i="1"/>
  <c r="S59" i="6"/>
  <c r="U59" i="6"/>
  <c r="U56" i="6"/>
  <c r="U57" i="6"/>
  <c r="U58" i="6"/>
  <c r="U55" i="6"/>
  <c r="U54" i="6"/>
  <c r="S56" i="6"/>
  <c r="S57" i="6"/>
  <c r="S58" i="6"/>
  <c r="S55" i="6"/>
  <c r="S52" i="6"/>
  <c r="S53" i="6"/>
  <c r="V55" i="6" l="1"/>
  <c r="V58" i="6"/>
  <c r="V56" i="6"/>
  <c r="V57" i="6"/>
  <c r="V59" i="6"/>
  <c r="S45" i="6"/>
  <c r="T28" i="4" l="1"/>
  <c r="AB28" i="4" l="1"/>
  <c r="Z28" i="4"/>
  <c r="V54" i="6"/>
  <c r="AC28" i="4" l="1"/>
  <c r="T27" i="4"/>
  <c r="Z27" i="4" s="1"/>
  <c r="T26" i="4"/>
  <c r="AB26" i="4" s="1"/>
  <c r="R11" i="5"/>
  <c r="S13" i="5"/>
  <c r="R12" i="5"/>
  <c r="R13" i="5"/>
  <c r="T13" i="5" s="1"/>
  <c r="U53" i="6"/>
  <c r="V53" i="6" s="1"/>
  <c r="AB27" i="4" l="1"/>
  <c r="AC27" i="4" s="1"/>
  <c r="Z26" i="4"/>
  <c r="AC26" i="4" s="1"/>
  <c r="T25" i="4"/>
  <c r="Z25" i="4" s="1"/>
  <c r="T8" i="7"/>
  <c r="X8" i="7" s="1"/>
  <c r="U52" i="6"/>
  <c r="V52" i="6" s="1"/>
  <c r="AB25" i="4" l="1"/>
  <c r="AC25" i="4" s="1"/>
  <c r="W8" i="7"/>
  <c r="Y8" i="7" s="1"/>
  <c r="U51" i="6"/>
  <c r="S51" i="6"/>
  <c r="V51" i="6" l="1"/>
  <c r="T24" i="4"/>
  <c r="AB24" i="4" s="1"/>
  <c r="AC24" i="4" s="1"/>
  <c r="U50" i="6" l="1"/>
  <c r="S50" i="6"/>
  <c r="V50" i="6" l="1"/>
  <c r="T7" i="7"/>
  <c r="U49" i="6"/>
  <c r="S49" i="6"/>
  <c r="S44" i="6"/>
  <c r="Y44" i="6" s="1"/>
  <c r="S46" i="6"/>
  <c r="X45" i="6" s="1"/>
  <c r="S48" i="6"/>
  <c r="X7" i="7" l="1"/>
  <c r="V49" i="6"/>
  <c r="W7" i="7"/>
  <c r="S12" i="5"/>
  <c r="T12" i="5" s="1"/>
  <c r="U47" i="6"/>
  <c r="U48" i="6"/>
  <c r="V48" i="6" s="1"/>
  <c r="S47" i="6"/>
  <c r="Y7" i="7" l="1"/>
  <c r="V47" i="6"/>
  <c r="T22" i="4" l="1"/>
  <c r="AB22" i="4" s="1"/>
  <c r="Z22" i="4" l="1"/>
  <c r="AC22" i="4" s="1"/>
  <c r="S11" i="5"/>
  <c r="T11" i="5" s="1"/>
  <c r="U46" i="6" l="1"/>
  <c r="V46" i="6" s="1"/>
  <c r="U45" i="6" l="1"/>
  <c r="V45" i="6" s="1"/>
  <c r="U44" i="6" l="1"/>
  <c r="V44" i="6" s="1"/>
  <c r="T21" i="4" l="1"/>
  <c r="Z21" i="4" s="1"/>
  <c r="AB21" i="4" l="1"/>
  <c r="AC21" i="4" s="1"/>
  <c r="U43" i="6"/>
  <c r="V43" i="6" s="1"/>
  <c r="S10" i="5" l="1"/>
  <c r="T10" i="5" s="1"/>
  <c r="S42" i="6"/>
  <c r="S40" i="6"/>
  <c r="U42" i="6"/>
  <c r="V42" i="6" l="1"/>
  <c r="U41" i="6" l="1"/>
  <c r="V41" i="6" s="1"/>
  <c r="U40" i="6" l="1"/>
  <c r="V40" i="6" s="1"/>
  <c r="S39" i="6" l="1"/>
  <c r="U39" i="6"/>
  <c r="V39" i="6" l="1"/>
  <c r="U38" i="6"/>
  <c r="S38" i="6"/>
  <c r="V38" i="6" l="1"/>
  <c r="S37" i="6"/>
  <c r="U37" i="6"/>
  <c r="U36" i="6"/>
  <c r="S36" i="6"/>
  <c r="S35" i="6"/>
  <c r="V37" i="6" l="1"/>
  <c r="V36" i="6"/>
  <c r="S25" i="6"/>
  <c r="S28" i="6"/>
  <c r="S29" i="6"/>
  <c r="S30" i="6"/>
  <c r="S31" i="6"/>
  <c r="S34" i="6"/>
  <c r="U35" i="6"/>
  <c r="V35" i="6" s="1"/>
  <c r="S23" i="6"/>
  <c r="S22" i="6"/>
  <c r="S12" i="6"/>
  <c r="S26" i="6"/>
  <c r="S27" i="6"/>
  <c r="X6" i="7"/>
  <c r="W6" i="7"/>
  <c r="Y6" i="7" l="1"/>
  <c r="X40" i="6"/>
  <c r="T20" i="4"/>
  <c r="U34" i="6" l="1"/>
  <c r="V34" i="6" s="1"/>
  <c r="U33" i="6" l="1"/>
  <c r="V33" i="6" s="1"/>
  <c r="U32" i="6"/>
  <c r="V32" i="6" s="1"/>
  <c r="S15" i="6"/>
  <c r="U15" i="6"/>
  <c r="U16" i="6"/>
  <c r="U17" i="6"/>
  <c r="U19" i="6"/>
  <c r="U21" i="6"/>
  <c r="U22" i="6"/>
  <c r="U23" i="6"/>
  <c r="U24" i="6"/>
  <c r="U25" i="6"/>
  <c r="U26" i="6"/>
  <c r="U27" i="6"/>
  <c r="U28" i="6"/>
  <c r="U29" i="6"/>
  <c r="U30" i="6"/>
  <c r="V30" i="6" s="1"/>
  <c r="U31" i="6"/>
  <c r="V31" i="6" s="1"/>
  <c r="S9" i="5" l="1"/>
  <c r="T9" i="5" s="1"/>
  <c r="V29" i="6" l="1"/>
  <c r="Z20" i="4" l="1"/>
  <c r="AB20" i="4"/>
  <c r="V28" i="6"/>
  <c r="AC20" i="4" l="1"/>
  <c r="AA26" i="6"/>
  <c r="V26" i="6" l="1"/>
  <c r="V25" i="6"/>
  <c r="V27" i="6" l="1"/>
  <c r="N7" i="6" l="1"/>
  <c r="S19" i="6" l="1"/>
  <c r="S17" i="6"/>
  <c r="S16" i="6"/>
  <c r="S14" i="6"/>
  <c r="S18" i="6"/>
  <c r="U5" i="6"/>
  <c r="S13" i="6"/>
  <c r="V22" i="6" l="1"/>
  <c r="V23" i="6"/>
  <c r="V24" i="6"/>
  <c r="V21" i="6"/>
  <c r="U20" i="6" l="1"/>
  <c r="V20" i="6" s="1"/>
  <c r="V19" i="6"/>
  <c r="U18" i="6" l="1"/>
  <c r="V18" i="6" s="1"/>
  <c r="S8" i="5" l="1"/>
  <c r="R8" i="5"/>
  <c r="T8" i="5" l="1"/>
  <c r="V17" i="6"/>
  <c r="T5" i="7"/>
  <c r="X5" i="7" l="1"/>
  <c r="W5" i="7"/>
  <c r="R4" i="8"/>
  <c r="Y4" i="8" s="1"/>
  <c r="Y5" i="7" l="1"/>
  <c r="W4" i="8"/>
  <c r="Z4" i="8" s="1"/>
  <c r="V16" i="6" l="1"/>
  <c r="W4" i="7" l="1"/>
  <c r="X4" i="7"/>
  <c r="V15" i="6"/>
  <c r="Y4" i="7" l="1"/>
  <c r="W10" i="6"/>
  <c r="W11" i="6"/>
  <c r="U14" i="6"/>
  <c r="V14" i="6" s="1"/>
  <c r="S7" i="5"/>
  <c r="R7" i="5"/>
  <c r="T7" i="5" l="1"/>
  <c r="U13" i="6"/>
  <c r="V13" i="6" s="1"/>
  <c r="U12" i="6"/>
  <c r="V12" i="6" s="1"/>
  <c r="S6" i="5" l="1"/>
  <c r="R6" i="5"/>
  <c r="T6" i="5" l="1"/>
  <c r="T11" i="4"/>
  <c r="T6" i="4"/>
  <c r="T7" i="4"/>
  <c r="AB7" i="4" s="1"/>
  <c r="T8" i="4"/>
  <c r="AB8" i="4" s="1"/>
  <c r="T9" i="4"/>
  <c r="Z9" i="4" s="1"/>
  <c r="T10" i="4"/>
  <c r="AB10" i="4" s="1"/>
  <c r="T12" i="4"/>
  <c r="T13" i="4"/>
  <c r="T14" i="4"/>
  <c r="T15" i="4"/>
  <c r="AB15" i="4" s="1"/>
  <c r="AC15" i="4" s="1"/>
  <c r="T16" i="4"/>
  <c r="AB16" i="4" s="1"/>
  <c r="AC16" i="4" s="1"/>
  <c r="T17" i="4"/>
  <c r="T18" i="4"/>
  <c r="T19" i="4"/>
  <c r="T23" i="4"/>
  <c r="AB23" i="4" l="1"/>
  <c r="Z23" i="4"/>
  <c r="Z10" i="4"/>
  <c r="AC10" i="4" s="1"/>
  <c r="AB13" i="4"/>
  <c r="Z13" i="4"/>
  <c r="AB12" i="4"/>
  <c r="Z12" i="4"/>
  <c r="AB11" i="4"/>
  <c r="Z11" i="4"/>
  <c r="AB17" i="4"/>
  <c r="Z17" i="4"/>
  <c r="AB19" i="4"/>
  <c r="Z19" i="4"/>
  <c r="AB18" i="4"/>
  <c r="Z18" i="4"/>
  <c r="AB14" i="4"/>
  <c r="Z14" i="4"/>
  <c r="AB9" i="4"/>
  <c r="AC9" i="4" s="1"/>
  <c r="R8" i="2"/>
  <c r="AA8" i="2" s="1"/>
  <c r="R9" i="2"/>
  <c r="R10" i="2"/>
  <c r="R11" i="2"/>
  <c r="R12" i="2"/>
  <c r="X12" i="2" s="1"/>
  <c r="R13" i="2"/>
  <c r="R14" i="2"/>
  <c r="R15" i="2"/>
  <c r="Y15" i="2" s="1"/>
  <c r="Y13" i="2" l="1"/>
  <c r="X13" i="2"/>
  <c r="X15" i="2"/>
  <c r="Y14" i="2"/>
  <c r="X14" i="2"/>
  <c r="AC23" i="4"/>
  <c r="AC14" i="4"/>
  <c r="AC19" i="4"/>
  <c r="AC11" i="4"/>
  <c r="AC13" i="4"/>
  <c r="AC18" i="4"/>
  <c r="AC17" i="4"/>
  <c r="AC12" i="4"/>
  <c r="U11" i="6"/>
  <c r="V11" i="6" s="1"/>
  <c r="Z13" i="2" l="1"/>
  <c r="Z14" i="2"/>
  <c r="Z15" i="2"/>
  <c r="U10" i="6"/>
  <c r="V10" i="6" s="1"/>
  <c r="Z8" i="4" l="1"/>
  <c r="AC8" i="4" s="1"/>
  <c r="Y8" i="2" l="1"/>
  <c r="Y9" i="2"/>
  <c r="Y10" i="2"/>
  <c r="Y11" i="2"/>
  <c r="Y12" i="2"/>
  <c r="Z12" i="2" s="1"/>
  <c r="X8" i="2"/>
  <c r="X10" i="2"/>
  <c r="X11" i="2"/>
  <c r="R7" i="2"/>
  <c r="X7" i="2" s="1"/>
  <c r="Z8" i="2" l="1"/>
  <c r="Y7" i="2"/>
  <c r="Z7" i="2" s="1"/>
  <c r="AA7" i="2"/>
  <c r="Z11" i="2"/>
  <c r="Z10" i="2"/>
  <c r="W6" i="6"/>
  <c r="W8" i="6"/>
  <c r="W9" i="6"/>
  <c r="W5" i="6"/>
  <c r="AB4" i="1"/>
  <c r="Z7" i="4"/>
  <c r="AC7" i="4" s="1"/>
  <c r="AB6" i="4"/>
  <c r="Z6" i="4"/>
  <c r="Y4" i="1"/>
  <c r="Z4" i="1"/>
  <c r="Z5" i="1"/>
  <c r="AA5" i="1" s="1"/>
  <c r="S5" i="5"/>
  <c r="U9" i="6"/>
  <c r="V9" i="6" s="1"/>
  <c r="U8" i="6"/>
  <c r="V8" i="6" s="1"/>
  <c r="U7" i="6"/>
  <c r="V7" i="6" s="1"/>
  <c r="U6" i="6"/>
  <c r="V6" i="6" s="1"/>
  <c r="V5" i="6"/>
  <c r="AA4" i="1" l="1"/>
  <c r="AC6" i="4"/>
  <c r="W7" i="6"/>
  <c r="R5" i="5"/>
  <c r="T5" i="5" s="1"/>
  <c r="T5" i="4"/>
  <c r="AB5" i="4" s="1"/>
  <c r="AC5" i="4" s="1"/>
  <c r="T4" i="4"/>
  <c r="Z4" i="4" l="1"/>
  <c r="AB4" i="4"/>
  <c r="R6" i="2"/>
  <c r="R5" i="2"/>
  <c r="AA5" i="2" s="1"/>
  <c r="AA6" i="2" l="1"/>
  <c r="X6" i="2"/>
  <c r="Y6" i="2"/>
  <c r="AC4" i="4"/>
  <c r="Y5" i="2"/>
  <c r="X5" i="2"/>
  <c r="Z6" i="2" l="1"/>
  <c r="Z5" i="2"/>
</calcChain>
</file>

<file path=xl/sharedStrings.xml><?xml version="1.0" encoding="utf-8"?>
<sst xmlns="http://schemas.openxmlformats.org/spreadsheetml/2006/main" count="16573" uniqueCount="7654">
  <si>
    <t>Phí khởi tạo</t>
  </si>
  <si>
    <t>Thành tiền</t>
  </si>
  <si>
    <t>Số lượng KM</t>
  </si>
  <si>
    <t>Số lượng còn</t>
  </si>
  <si>
    <t>STT</t>
  </si>
  <si>
    <t>Tên DN</t>
  </si>
  <si>
    <t>Phí DV/tờ</t>
  </si>
  <si>
    <t>YÊU CẦU CẤP eINVOICE</t>
  </si>
  <si>
    <t>Ngày:          /         /2018</t>
  </si>
  <si>
    <t>Địa chỉ</t>
  </si>
  <si>
    <t>TP Hạ Long</t>
  </si>
  <si>
    <t>E-INVOICE</t>
  </si>
  <si>
    <t>300 tờ</t>
  </si>
  <si>
    <t xml:space="preserve"> Tổ 5, Khu 6, Phường Hồng Hải, TP Hạ Long, Tỉnh Quảng Ninh</t>
  </si>
  <si>
    <t>5402BC5CACCE669C2015000000029E40</t>
  </si>
  <si>
    <t>dobinh1977@gmail.com</t>
  </si>
  <si>
    <t>C Bình</t>
  </si>
  <si>
    <t>Công ty TNHH Một Thành Viên Kinh Đông</t>
  </si>
  <si>
    <t>CÔNG TY TNHH CÔNG NGHIỆP VÀ DỊCH VỤ BÌNH MINH</t>
  </si>
  <si>
    <t>Phố Khánh Minh, Phường Ninh Khánh, Tp Ninh Bình, T Ninh Bình, Việt Nam</t>
  </si>
  <si>
    <t>ketoan@bmgreenwood.com</t>
  </si>
  <si>
    <t>Chị Hoàn: 0229.383.6555</t>
  </si>
  <si>
    <t>TP Ninh Bình</t>
  </si>
  <si>
    <t>Ca2-eI2.000</t>
  </si>
  <si>
    <t>54 01 45 0d 0b ea 27 06 8d f0 50 77 ab 8d 1c 05</t>
  </si>
  <si>
    <t>CK KH</t>
  </si>
  <si>
    <t>CK CQT</t>
  </si>
  <si>
    <t>CB Thuế</t>
  </si>
  <si>
    <t>Chị Nguyệt</t>
  </si>
  <si>
    <t>Ngày:        04/08    /2018</t>
  </si>
  <si>
    <t>0108354477</t>
  </si>
  <si>
    <t>Công ty TNHH Cơ điện lạnh Nam Nguyễn</t>
  </si>
  <si>
    <t>Số 6 ngõ 194/63 Đường Lê Đức Thọ, Mỹ Đình 2, Nam Từ Liêm, Thành phố Hà Nội, Việt Nam</t>
  </si>
  <si>
    <t>CA2-eI300</t>
  </si>
  <si>
    <t>HĐĐT</t>
  </si>
  <si>
    <t>0108446752</t>
  </si>
  <si>
    <t>Công ty TNHH Trương Hoàng Trần Nguyễn</t>
  </si>
  <si>
    <t>Số nhà 22, ngõ 1, Khu tập thể Viện nghiên cứu cơ khí, đường - Phường Mỹ Đình 2 - Quận Nam Từ Liêm - TP Hà Nội. Việt Nam</t>
  </si>
  <si>
    <t>‎54 01 01 09 86 0e 48 83 dc 9c 88 91 ca 97 72 50</t>
  </si>
  <si>
    <t>CA2-eI1000</t>
  </si>
  <si>
    <t>trinhtusan@gmail.com</t>
  </si>
  <si>
    <t>CK</t>
  </si>
  <si>
    <t>CÔNG TY TNHH ĐẦU TƯ VÀ PHÁT TRIỂN HUY BÁCH</t>
  </si>
  <si>
    <t>Xóm Chùa, Tổ 17, đường Phú Diễn, Phường Phú Diễn, Quận Bắc Từ Liêm, Thành phố Hà Nội, Việt Nam</t>
  </si>
  <si>
    <t>C Nguyệt</t>
  </si>
  <si>
    <t>0201751447</t>
  </si>
  <si>
    <t>CÔNG TY TNHH DỊCH VỤ XUẤT NHẬP KHẨU ÁNH SÁNG</t>
  </si>
  <si>
    <t>Số 428 Đà Nẵng - Phường Đông Hải 1 - Quận Hải An - Hải Phòng - Việt Nam</t>
  </si>
  <si>
    <t xml:space="preserve">5404fffeb7033fb316d672201b786b4a </t>
  </si>
  <si>
    <t>CA2-eI301</t>
  </si>
  <si>
    <t>Hợp đồng phần mềm EBH</t>
  </si>
  <si>
    <t>NGÀY ĐỀ NGHỊ CẤP</t>
  </si>
  <si>
    <t>TÊN TỔ CHỨC</t>
  </si>
  <si>
    <t>MST</t>
  </si>
  <si>
    <t>ĐỊA CHỈ</t>
  </si>
  <si>
    <t>ĐIỆN THOẠI KHÁCH HÀNG</t>
  </si>
  <si>
    <t>EMAIL</t>
  </si>
  <si>
    <t>Tên GĐ</t>
  </si>
  <si>
    <t>MÃ GÓI</t>
  </si>
  <si>
    <t>THỜI HẠN</t>
  </si>
  <si>
    <t>Phí ebh</t>
  </si>
  <si>
    <t>Hóa đơn</t>
  </si>
  <si>
    <t>HỒ SƠ KHÁCH HÀNG</t>
  </si>
  <si>
    <t>Hết hạn</t>
  </si>
  <si>
    <t>Người liên hệ</t>
  </si>
  <si>
    <t>17/10/2018</t>
  </si>
  <si>
    <t>CÔNG TY TNHH DỊCH VỤ VÀ ĐẦU TƯ THƯƠNG MẠI TOÀN CẦU</t>
  </si>
  <si>
    <t>0106894646</t>
  </si>
  <si>
    <t>Số 271, Phố Trần Đăng Ninh, Phường Dịch Vọng, Quận Cầu Giấy, TP Hà Nội, Việt Nam</t>
  </si>
  <si>
    <t>0904422968</t>
  </si>
  <si>
    <t>nhimnghe2004@gmail.com</t>
  </si>
  <si>
    <t xml:space="preserve">Nguyễn Trung Kiên </t>
  </si>
  <si>
    <t>3N</t>
  </si>
  <si>
    <t>Đủ hồ sơ</t>
  </si>
  <si>
    <t xml:space="preserve">                                                                     MẪU ĐỀ NGHỊ CẤP MỚI,GIA HẠN,CHUYỂN ĐỔI DỊCH VỤ CKS CA2</t>
  </si>
  <si>
    <t>PHÍ CKS</t>
  </si>
  <si>
    <t>15/09/2018</t>
  </si>
  <si>
    <t>Công Ty Cổ Phần Tiền Phong Điện Tử</t>
  </si>
  <si>
    <t>0108431428</t>
  </si>
  <si>
    <t>15 Hồ Xuân Hương,  Phường Nguyễn Du ,  Quận Hai Bà Trưng, TP Hà Nội, Việt Nam.</t>
  </si>
  <si>
    <t>0934893328</t>
  </si>
  <si>
    <t>hanhtm@hemera.vn</t>
  </si>
  <si>
    <t>Đỗ Chiến Thắng</t>
  </si>
  <si>
    <t>cấp mới</t>
  </si>
  <si>
    <t>Đủ hồ sơ cứng bàn giao cLA ngày 19/9/2018</t>
  </si>
  <si>
    <t>15/09/2021</t>
  </si>
  <si>
    <t>Trang NGS</t>
  </si>
  <si>
    <t>01/10/2018</t>
  </si>
  <si>
    <t>Công Ty Cổ Phần Thiết bị và truyền thông NGS</t>
  </si>
  <si>
    <t>0102683186</t>
  </si>
  <si>
    <t>Số 8 lý thường kiệt, P Phan Chu Trinh, Quận Hoàn Kiếm, TP Hà Nội, Việt Nam</t>
  </si>
  <si>
    <t>0945015060</t>
  </si>
  <si>
    <t>trang.hoang@ngs.com.vn</t>
  </si>
  <si>
    <t>Nguyễn Vũ Hoàng Anh</t>
  </si>
  <si>
    <t>Gia hạn</t>
  </si>
  <si>
    <t>Đủ hồ sơ cứng bàn giao cLA ngày 19/10/2018</t>
  </si>
  <si>
    <t>08/10/2018</t>
  </si>
  <si>
    <t>CÔNG TY TNHH THỰC PHẨM VÀ ĐỒ UỐNG QUỐC TẾ</t>
  </si>
  <si>
    <t>0101967026</t>
  </si>
  <si>
    <t>Số 466 Ngọc Thuỵ, Phường Ngọc Thụy, Quận Long Biên, Thành phố Hà Nội</t>
  </si>
  <si>
    <t>0913022653</t>
  </si>
  <si>
    <t>liennguyen00@yahoo.com</t>
  </si>
  <si>
    <t xml:space="preserve">Nguyễn Thị Liên </t>
  </si>
  <si>
    <t>2N</t>
  </si>
  <si>
    <t>Đủ hồ sơ cứng bàn giao cLA ngày 23/10/2018</t>
  </si>
  <si>
    <t>Chị Liên</t>
  </si>
  <si>
    <t>CK trừ trực tiếp trên hóa đơn</t>
  </si>
  <si>
    <t>07/10/2018</t>
  </si>
  <si>
    <t>CÔNG TY CỔ PHẦN DỊCH VỤ SỬA CHỮA ÔTÔ HOÀNG MAI</t>
  </si>
  <si>
    <t>0101932753</t>
  </si>
  <si>
    <t>Tổ 1, Phường Yên Sở, Quận Hoàng Mai, Thành Phố Hà Nội</t>
  </si>
  <si>
    <t>0982295052</t>
  </si>
  <si>
    <t>Thusongngan37@gmail.com</t>
  </si>
  <si>
    <t>Hoàng Đình Định</t>
  </si>
  <si>
    <t>1N</t>
  </si>
  <si>
    <t>Đủ hồ sơ cứng bàn giao cLA ngày 24/10/2018</t>
  </si>
  <si>
    <t>Cô Thu</t>
  </si>
  <si>
    <t>Công Ty TNHH Bất Động Sản An Phú - Hoàng Gia</t>
  </si>
  <si>
    <t>0106646763</t>
  </si>
  <si>
    <t>Tầng 16 tòa nhà VID 1 số 115 Trần Hưng Đạo, Phường Cửa Nam, Quận Hoàn Kiếm, TP Hà Nội</t>
  </si>
  <si>
    <t>01262188605</t>
  </si>
  <si>
    <t>hienhm@mik.vn</t>
  </si>
  <si>
    <t>Nguyễn Hồng Ngọc</t>
  </si>
  <si>
    <t>Hiền</t>
  </si>
  <si>
    <t>Ngày yêu cầu</t>
  </si>
  <si>
    <t>Đăng ký KD</t>
  </si>
  <si>
    <t>Chi Cục Thuế</t>
  </si>
  <si>
    <t>Điện thoại DN</t>
  </si>
  <si>
    <t>Email đăng ký</t>
  </si>
  <si>
    <t>Người đại diện PL</t>
  </si>
  <si>
    <t>Chức Vụ</t>
  </si>
  <si>
    <t>Serial Token đăng ký</t>
  </si>
  <si>
    <t>Mã gói SP</t>
  </si>
  <si>
    <t>Loại</t>
  </si>
  <si>
    <t xml:space="preserve">Số lượng hóa đơn </t>
  </si>
  <si>
    <t>Tỷ lệ</t>
  </si>
  <si>
    <t>Quận Nam Từ Liêm</t>
  </si>
  <si>
    <t>Khách hàng</t>
  </si>
  <si>
    <t>Ngày Hết hạn</t>
  </si>
  <si>
    <t>Ghi Chú</t>
  </si>
  <si>
    <t>CK NCM 68% (trên phí dịch vụ - phí theo TT305. 3000đ/tháng)</t>
  </si>
  <si>
    <t>CK NCM 35%</t>
  </si>
  <si>
    <t>CK NCM 68%</t>
  </si>
  <si>
    <t>Thu về</t>
  </si>
  <si>
    <t>CÔNG TY TNHH CÔNG NGHỆ HILACHI VIỆT NAM</t>
  </si>
  <si>
    <t>0107866659</t>
  </si>
  <si>
    <t xml:space="preserve"> Chi cục Thuế Quận Bắc Từ Liêm</t>
  </si>
  <si>
    <t>Số 431A, đường Hoàng Công Chất - Phường Phú Diễn - Quận Bắc Từ Liêm - Hà Nội - Việt Nam</t>
  </si>
  <si>
    <t>0896635969</t>
  </si>
  <si>
    <t>congtyhilachi@gmail.com</t>
  </si>
  <si>
    <t>Lê Thị Lan Anh</t>
  </si>
  <si>
    <t>Giám Đốc</t>
  </si>
  <si>
    <t>54 01 01 09 2d 87 14 1f 1e 7c f7 d6 96 ed 05 d6</t>
  </si>
  <si>
    <t>Cấp Mới</t>
  </si>
  <si>
    <t>ĐT người làm</t>
  </si>
  <si>
    <t>0164.6236.204</t>
  </si>
  <si>
    <t>CÔNG TY TNHH THƯƠNG MẠI KỸ THUẬT NTK VIỆT NAM</t>
  </si>
  <si>
    <t>0108490286</t>
  </si>
  <si>
    <t>số 2, ngõ 4, thôn Vân Sa 3, xã Tàn Hồng, huyện Ba Vị, thành phố Hà Nôi, Việt Nam.</t>
  </si>
  <si>
    <t>Tình trạng thanh toán</t>
  </si>
  <si>
    <t>0108468185</t>
  </si>
  <si>
    <t>CÔNG TY TNHH TIẾP VẬN SAO MAI</t>
  </si>
  <si>
    <t xml:space="preserve">Số 4, ngách 63/30/84 Đường Lê Đức Thọ - Phường Mỹ Đình 2 - Quận Nam Từ Liêm - Hà Nội.
</t>
  </si>
  <si>
    <t>A Cường: 0983898669</t>
  </si>
  <si>
    <t>A Tùng: 0356522655</t>
  </si>
  <si>
    <t>E Hương: 0984020229</t>
  </si>
  <si>
    <t>13/11/2018</t>
  </si>
  <si>
    <t>CÔNG TY CỔ PHẦN DỊCH VỤ VÀ DU LỊCH TRÀNG AN</t>
  </si>
  <si>
    <t>Hoàng Mai</t>
  </si>
  <si>
    <t>Ba vì</t>
  </si>
  <si>
    <t xml:space="preserve">Phòng 312 nhà CT2, khu đô thị mới Bắc Linh Đàm, Đại Kim - Phường Đại Kim - Quận Hoàng Mai - Hà Nội.
</t>
  </si>
  <si>
    <t>An: 0986779112</t>
  </si>
  <si>
    <t>anthuy2407@gmail.com</t>
  </si>
  <si>
    <t>Nguyễn Thị Nam</t>
  </si>
  <si>
    <t>Giám đốc</t>
  </si>
  <si>
    <t>CHI NHÁNH CÔNG TY TNHH JOTO-KOREA TẠI THÀNH PHỐ HỒ CHÍ MINH</t>
  </si>
  <si>
    <t>0201822521-001</t>
  </si>
  <si>
    <t>Số 1/62 Trần Bình Trọng, Phường 5, Quận Bình Thạnh, Thành Phố Hồ Chí Minh, Việt Nam</t>
  </si>
  <si>
    <t xml:space="preserve"> doandacquynh10@gmail.com</t>
  </si>
  <si>
    <t>Đoàn Đắc Quynh</t>
  </si>
  <si>
    <t>Cấp mới</t>
  </si>
  <si>
    <t>Đủ hồ sơ cứng bàn giao cLA ngày 12/11/2018</t>
  </si>
  <si>
    <t>cậu Quynh</t>
  </si>
  <si>
    <t>CHI NHÁNH TẠI THÀNH PHỐ HỒ CHÍ MINH CÔNG TY TNHH MISSO VIỆT NAM</t>
  </si>
  <si>
    <t>0201883789-001</t>
  </si>
  <si>
    <t>Đủ hồ sơ cứng bàn giao cLA ngày 12/11/2019</t>
  </si>
  <si>
    <t>16/11/2018</t>
  </si>
  <si>
    <t>17/11/2018</t>
  </si>
  <si>
    <t>CÔNG TY CỔ PHẦN NỘI THẤT TAM HÒA</t>
  </si>
  <si>
    <t>Nhà A2SO11, khu đô thị chức năng Thành phố Xanh-Vinhomes Gar - Phường Cầu Diễn - Quận Nam Từ Liêm - Hà Nội.</t>
  </si>
  <si>
    <t>C.Phương 0934317917</t>
  </si>
  <si>
    <t>CA2-eI500</t>
  </si>
  <si>
    <t>HDĐT</t>
  </si>
  <si>
    <t xml:space="preserve">:CÔNG TY CỔ PHẦN XUẤT NHẬP KHẨU APO </t>
  </si>
  <si>
    <t>Tâng 6, toà nhà Golden Field, khu đô thị MỹĐình 1 - Phường Cầu Diễn - Quận Nam Từ Liêm - Thành Phố Hà Nội - Việt Nam</t>
  </si>
  <si>
    <t>C Thúy 0902001573</t>
  </si>
  <si>
    <t>apohair.anna@gmail.com</t>
  </si>
  <si>
    <t>CÔNG TY CỔ PHẦN TRUYỀN THÔNG VÀ CÔNG NGHỆ DITECH</t>
  </si>
  <si>
    <t>0105368802</t>
  </si>
  <si>
    <t>Cầu giấy</t>
  </si>
  <si>
    <t>Tầng 2, CC Viện Chiến lược Bộ Công An, phố Nguyễn Chánh - Phường Trung Hoà - Quận Cầu Giấy -Thành Phố Hà Nội - Việt Nam</t>
  </si>
  <si>
    <t>Chị Dương: 0987861985</t>
  </si>
  <si>
    <t>duongktiq@gmail.com</t>
  </si>
  <si>
    <t>Nguyễn Đức Quân</t>
  </si>
  <si>
    <t>540304ec8c8d3302b869e47dd22ae202</t>
  </si>
  <si>
    <t>C Dương</t>
  </si>
  <si>
    <t>0987861985</t>
  </si>
  <si>
    <t>CÔNG TY CỔ PHẦN DỊCH VỤ VIỄN THÔNG SUNTEL VIỆT NAM</t>
  </si>
  <si>
    <t>19/11/2018</t>
  </si>
  <si>
    <t>0105430923</t>
  </si>
  <si>
    <t>Tầng 2, tòa nhà Trung Yên 1, khu đô thị Trung Yên - Phường Trung Hoà - Quận Cầu Giấy - Thành Phố Hà Nội - Việt Nam</t>
  </si>
  <si>
    <t>Nguyễn Thị Thu Trang</t>
  </si>
  <si>
    <t xml:space="preserve"> 540309a5e2d198241d1f845e8893eccf</t>
  </si>
  <si>
    <t>CA2-eI501</t>
  </si>
  <si>
    <t>CÔNG TY TNHH KINH DOANH - THƯƠNG MẠI HÀ THANH</t>
  </si>
  <si>
    <t xml:space="preserve"> 0108327272</t>
  </si>
  <si>
    <t xml:space="preserve">Số 72 ngõ 57 Mễ Trì Hạ - Phường Mễ Trì - Quận Nam Từ Liêm - Hà Nội.
</t>
  </si>
  <si>
    <t>chudiemhuong@gmail.com</t>
  </si>
  <si>
    <t>C.Hương 0985209955</t>
  </si>
  <si>
    <t>23/11/2018</t>
  </si>
  <si>
    <t xml:space="preserve">Đỗ Minh Lương </t>
  </si>
  <si>
    <t>Xác nhận</t>
  </si>
  <si>
    <t>ok</t>
  </si>
  <si>
    <t>Ko mua</t>
  </si>
  <si>
    <t>27/11/2018</t>
  </si>
  <si>
    <t>Công Ty Cổ Phần Mertranslux Việt Nam</t>
  </si>
  <si>
    <t>Số nhà 180, ngõ 264, đường Ngọc Thụy,Phường Ngọc Thụy, Quận Long Biên, Hà Nội</t>
  </si>
  <si>
    <t>mertransluxvn@gmail.com</t>
  </si>
  <si>
    <t>Gia.Hạn</t>
  </si>
  <si>
    <t>1 N</t>
  </si>
  <si>
    <t>Zalo Hà Mertranslux</t>
  </si>
  <si>
    <t>CÔNG TY TRÁCH NHIỆM HỮU HẠN REGIS</t>
  </si>
  <si>
    <t>0106687978</t>
  </si>
  <si>
    <t>Lô CN1, CN2, Cụm công nghiệp Văn Phong, Xã Văn Phong - Xã Văn Phương - Huyện Nho quan - Ninh Bình.</t>
  </si>
  <si>
    <t>Anh Khoa: 0982072468</t>
  </si>
  <si>
    <t>minhkhoa1980.km@gmail.com</t>
  </si>
  <si>
    <t>Đã TT</t>
  </si>
  <si>
    <t>29/11/2018</t>
  </si>
  <si>
    <t>Số 2, ngõ 4, thôn Vân Sa 3, xã Tản Hồng, Huyện Ba Vì, Thành phố Hà Nôi, Việt Nam.</t>
  </si>
  <si>
    <t>0104735288</t>
  </si>
  <si>
    <t xml:space="preserve">Số 21 Khu Tập thể Bộ tư lệnh Hoá học, tổ dân phố Trù III - Phường Cổ Nhuế 2 - Quận Bắc Từ Liêm - Hà Nội.
</t>
  </si>
  <si>
    <t>0983127583</t>
  </si>
  <si>
    <t xml:space="preserve">vppthaiha@gmail.com 
</t>
  </si>
  <si>
    <t>31/2/2020</t>
  </si>
  <si>
    <t xml:space="preserve">Văn phòng luật sư Đông Hà </t>
  </si>
  <si>
    <t xml:space="preserve">CÔNG TY CỔ PHẦN TRUYỀN THÔNG BM MOONLIGHT MEDIA </t>
  </si>
  <si>
    <t>Long Biên</t>
  </si>
  <si>
    <t>Số 6, Ngõ 175/2 Phố Bồ Đề - Phường Bồ Đề - Quận Long Biên - Hà Nội - Việt Nam</t>
  </si>
  <si>
    <t>Ca2-eI300</t>
  </si>
  <si>
    <t xml:space="preserve">Mận 0969293130 or 0975734410 </t>
  </si>
  <si>
    <t>0201804709-002</t>
  </si>
  <si>
    <t xml:space="preserve">CHI NHÁNH CÔNG TY TNHH XUẤT NHẬP KHẨU GLORY ĐÀ NẴNG
</t>
  </si>
  <si>
    <t>424 Võ Nguyên Giáp - Phường Mỹ An - Quận Ngũ Hành Sơn - Đà Nẵng – Việt Na</t>
  </si>
  <si>
    <t>E Thảo: 090 5545015</t>
  </si>
  <si>
    <t>hr@fansipandananghotel.com.vn</t>
  </si>
  <si>
    <t>Ca2-eI500</t>
  </si>
  <si>
    <t>CÔNG TY TNHH VPP THÁI HÀ - Thơ</t>
  </si>
  <si>
    <t>14/12/2018</t>
  </si>
  <si>
    <t>0900854396</t>
  </si>
  <si>
    <t>Km29, Quốc lộ 5A, thôn bến xã Bạch Sam, Mỹ Hào, Hưng Yên</t>
  </si>
  <si>
    <t>A Sang -0976605066</t>
  </si>
  <si>
    <t>sangbv@thienhacorp.com</t>
  </si>
  <si>
    <t>Công ty Cổ phần thiên hà cameda - Thơ</t>
  </si>
  <si>
    <t>Công Ty TNHH Đầu Tư – Thương Mại - Dịch vụ Minh Anh</t>
  </si>
  <si>
    <t>0102084048</t>
  </si>
  <si>
    <t>Số 14, ngách 177/18, Phố Định Công, Phường Định Công, Quận Hoàng Mai, Thành phố Hà Nội, Việt Nam.</t>
  </si>
  <si>
    <t>024.3664.8567</t>
  </si>
  <si>
    <t>Nhungnt@vanphongpham24.com</t>
  </si>
  <si>
    <t>5402bc5cacce669c20150000000340c3</t>
  </si>
  <si>
    <t>CA2-eIextra</t>
  </si>
  <si>
    <t>C.Nhung</t>
  </si>
  <si>
    <t>CÔNG TY TNHH THƯƠNG MẠI TIN HỌC VÀ THIẾT BỊ VĂN PHÒNG</t>
  </si>
  <si>
    <t>0101472471</t>
  </si>
  <si>
    <t>Đống Đa</t>
  </si>
  <si>
    <t>Số 14, Ngách 46/41 đường Phạm Ngọc Thạch, Phường Phương Liên, Quận Đống Đa, TP Hà Nội, Việt Nam.</t>
  </si>
  <si>
    <t>ktt@tic.vn</t>
  </si>
  <si>
    <t>Trương Đình Đoàn</t>
  </si>
  <si>
    <t>54 08 26 4d b4 83 2f 75 e8 5f 6c 5f 10 ef 7d 8d</t>
  </si>
  <si>
    <t>Cấp Mới</t>
  </si>
  <si>
    <t>19/12/2018</t>
  </si>
  <si>
    <t xml:space="preserve">CÔNG TY TNHH THƯƠNG MẠI VÀ DỊCH VỤ REC MEDIA </t>
  </si>
  <si>
    <t xml:space="preserve">Số 16 hẻm 51/92 ngõ Linh Quang, Phường Văn Chương, Quận Đống Đa, Thành PhốHà Nội, Việt Nam. </t>
  </si>
  <si>
    <t>Ca2-eI1000</t>
  </si>
  <si>
    <t>Số 49, phố Nguyễn Khả Trạc, Phường Mai Dịch,  Quận Cầu Giấy, Thành Phố Hà Nội, Việt Nam</t>
  </si>
  <si>
    <t>Trà 0399594792</t>
  </si>
  <si>
    <t>0102213656</t>
  </si>
  <si>
    <t>huongtravietnhat.edu@gmail.com</t>
  </si>
  <si>
    <t>VĂN PHÒNG LUẬT SƯ HÀ ĐÔNG</t>
  </si>
  <si>
    <t>0104563014</t>
  </si>
  <si>
    <t xml:space="preserve">Số 1 đường Quang Trung - Phường Quang Trung - Quận Hà Đông - Hà Nội.
</t>
  </si>
  <si>
    <t>Tuyên</t>
  </si>
  <si>
    <t>donghavpl@yahoo.com.vn</t>
  </si>
  <si>
    <t>Chưa</t>
  </si>
  <si>
    <t>Số 1 đường Quang Trung - Phường Quang Trung - Quận Hà Đông - Hà Nội.</t>
  </si>
  <si>
    <t>22/12/2018</t>
  </si>
  <si>
    <t>CÔNG TY TNHH KHÁT VỌNG TLG</t>
  </si>
  <si>
    <t>0104606317</t>
  </si>
  <si>
    <t>Phòng 306 nhà B5 tập thể Tân Mai, Phường Tân Mai, Quận Hoàng Mai, TP Hà Nội, Việt Nam</t>
  </si>
  <si>
    <t xml:space="preserve">Ngọc Anh </t>
  </si>
  <si>
    <t>CA2-e500</t>
  </si>
  <si>
    <t>C. Ngọc Anh</t>
  </si>
  <si>
    <t>26/12/2018</t>
  </si>
  <si>
    <t>CÔNG TY CỔ PHẦN ĐẦU TƯ XÂY DỰNG SỐ 1 THIÊN ÂN</t>
  </si>
  <si>
    <t>0108511659</t>
  </si>
  <si>
    <t>Nhà số 10, ngõ 241, phố Chợ Khâm Thiên, Phường Phương Liên, Quận Đống Đa, TP Hà Nội, Việt Nam</t>
  </si>
  <si>
    <t>0913966583</t>
  </si>
  <si>
    <t xml:space="preserve"> trangamhong@gmail.com</t>
  </si>
  <si>
    <t>Bùi Văn Tuyển</t>
  </si>
  <si>
    <t>54 01 01 09 31 f0 94 66 3f ef 99 a0 e6 a7 df fb</t>
  </si>
  <si>
    <t>Chúc</t>
  </si>
  <si>
    <t>27/12/2018</t>
  </si>
  <si>
    <t>CÔNG TY TNHH PHOENIX TECH VIỆT NAM</t>
  </si>
  <si>
    <t>:2400811750</t>
  </si>
  <si>
    <t>Nhà Xưởng C, Lô số CN-16, Khu công nghiệp Vân Trung, Xã Vân Trung, Huyện Việt Yên, Tỉnh Bắc Giang, Việt Nam</t>
  </si>
  <si>
    <t>Ms Hồng: 0366800199</t>
  </si>
  <si>
    <t>hongdiep1406@gmail.com</t>
  </si>
  <si>
    <t>CÔNG TY TNHH SỢI VẢI Á CHÂU</t>
  </si>
  <si>
    <t>0108557452</t>
  </si>
  <si>
    <t>Số 58 – T16, Khu đô thị Văn Phú, Phường Phú La, Quận Hà Đông, Thành Phố Hà Nội, Việt Nam</t>
  </si>
  <si>
    <t>Thảo: 0979910833</t>
  </si>
  <si>
    <t>thaotran0105@gmail.com</t>
  </si>
  <si>
    <t>27/12/2021</t>
  </si>
  <si>
    <t>Hà Đông</t>
  </si>
  <si>
    <t xml:space="preserve"> thaotran0105@gmail.com</t>
  </si>
  <si>
    <t xml:space="preserve">TRẦN ĐẮC HÙNG                  </t>
  </si>
  <si>
    <t>CÔNG TY TNHH DỊCH VỤ GIẢI TRÍ BINGO STAR VIỆT NAM</t>
  </si>
  <si>
    <t>0108396075</t>
  </si>
  <si>
    <t>Hoàn Kiếm</t>
  </si>
  <si>
    <t>Số 18 Lý Thường Kiệt - Phường Phan Chu Trinh - Quận Hoàn Kiếm - Hà Nội - Việt Nam.</t>
  </si>
  <si>
    <t xml:space="preserve">Phan Tuấn Khanh                </t>
  </si>
  <si>
    <t>CÔNG TY CỔ PHẦN WHATCAR</t>
  </si>
  <si>
    <t>0108398185</t>
  </si>
  <si>
    <t>Số nhà 83, tổ dân phố số 2 Mễ Trì Thượng - Phường Mễ Trì - Quận Nam Từ Liêm - Hà Nội.</t>
  </si>
  <si>
    <t>Em Hải: 0976689915</t>
  </si>
  <si>
    <t>hai@wcorp.vn</t>
  </si>
  <si>
    <t>CÔNG TY TNHH ĐT TM TH VÀ DV NHÀ HÀNG HÀ TRANG</t>
  </si>
  <si>
    <t>Số nhà 11, tổ dân phố Yên Nội 2 - Phường Liên Mạc - Quận Bắc Từ Liêm - Hà Nội – Việt Nam.</t>
  </si>
  <si>
    <t>0601145779</t>
  </si>
  <si>
    <t>Chị Hương kế toán</t>
  </si>
  <si>
    <t>Chudiemhuong</t>
  </si>
  <si>
    <t>27/12/2020</t>
  </si>
  <si>
    <t>CÔNG TY CỔ PHẦN HỢP TÁC GIÁO DỤC QUỐC TẾ VIỆT NHẬT - thơ</t>
  </si>
  <si>
    <t>28/12/2018</t>
  </si>
  <si>
    <t>CÔNG TY CỔ PHẦN THƯƠNG MẠI QUỐC TẾ ZN</t>
  </si>
  <si>
    <t xml:space="preserve">0108553592 </t>
  </si>
  <si>
    <t>Thanh Xuân</t>
  </si>
  <si>
    <t>Số 25 ngõ 97 Phố Khương Trung, Phường Khương Trung, Quận Thanh Xuân, Thành phố Hà Nội, Việt Nam.</t>
  </si>
  <si>
    <t>daothiphuongloan85@gmail.com</t>
  </si>
  <si>
    <t>Đào Minh Vượng</t>
  </si>
  <si>
    <t xml:space="preserve">54 01 01 09 72 d8 b1 e9 15 f9 bc 17 1b 7c b8 1d </t>
  </si>
  <si>
    <t>Sơn</t>
  </si>
  <si>
    <t>CÔNG TY CỔ PHẦN PHÁT TRIỂN CÔNG NGHỆ KỸ THUẬT M&amp;E</t>
  </si>
  <si>
    <t>0104784408</t>
  </si>
  <si>
    <t>Cầu Giấy</t>
  </si>
  <si>
    <t>Số 2 nghách 106/2, ngõ 106, phố Trần Bình - Phường Mai Dịch - Quận Cầu Giấy - Hà Nội - Việt Nam.</t>
  </si>
  <si>
    <t>0422422077</t>
  </si>
  <si>
    <t xml:space="preserve">Trần Văn Trà                        </t>
  </si>
  <si>
    <t xml:space="preserve">CA2-eI300
</t>
  </si>
  <si>
    <t>CÔNG TY CỔ PHẦN KASHI VIỆT NAM</t>
  </si>
  <si>
    <t>0108509963</t>
  </si>
  <si>
    <t>Số nhà 09 - TT8 khu đô thị Văn Phú - Phường Phú La - Quận Hà Đông - Hà Nội- Việt Nam.</t>
  </si>
  <si>
    <t>Chị Hương: 0985209955</t>
  </si>
  <si>
    <t xml:space="preserve">Lê Trung Tâm                      </t>
  </si>
  <si>
    <t>Chị Hương</t>
  </si>
  <si>
    <t>CôNG TY TNHH VẬN TẢI KIẾN BÌNH</t>
  </si>
  <si>
    <t>937 Trần Xuân Soạn - Phường Tân Hưng - Quận 7 - TP Hồ Chí Minh.</t>
  </si>
  <si>
    <t>0313980276</t>
  </si>
  <si>
    <t>Gia Hạn</t>
  </si>
  <si>
    <t>OK</t>
  </si>
  <si>
    <t>0302001458</t>
  </si>
  <si>
    <t>26/22 Trần Quý Cáp P.11 - Phường 11 - Quận Bình Thạnh - TP Hồ Chí Minh.</t>
  </si>
  <si>
    <t>0913805686</t>
  </si>
  <si>
    <t>ngoctanpham@gmail.com</t>
  </si>
  <si>
    <t xml:space="preserve"> Phạm Ngọc Tân</t>
  </si>
  <si>
    <t>CTY TNHH THƯƠNG MẠI QUỐC TẾ Á CHÂU - Thơ</t>
  </si>
  <si>
    <t>CÔNG TY CỔ PHẦN THƯƠNG MẠI VÀ THIẾT BỊ MÁY NGÂN HÀ</t>
  </si>
  <si>
    <t>0107399725</t>
  </si>
  <si>
    <t>Số 75, ngách 26, ngõ Thái Thịnh 2 - Phường Thịnh Quang - Quận Đống Đa - Thành Phố Hà Nội - Việt Nam</t>
  </si>
  <si>
    <t>0985209955</t>
  </si>
  <si>
    <t>Văn Đức Biền</t>
  </si>
  <si>
    <t>Khách Chị Lê</t>
  </si>
  <si>
    <t>51 tháng</t>
  </si>
  <si>
    <t>Tiền CK</t>
  </si>
  <si>
    <t xml:space="preserve">TRƯỜNG TIỂU HỌC MARIE CURIE II </t>
  </si>
  <si>
    <t>0106490072-001</t>
  </si>
  <si>
    <t>Tổ 1 - Phường Kiến Hưng - Quận Hà Đông - Hà Nội - Việt Nam</t>
  </si>
  <si>
    <t xml:space="preserve">0936611968 
</t>
  </si>
  <si>
    <t>luulinh32@yahoo.com</t>
  </si>
  <si>
    <t>Thái Thị Hồng Diệp</t>
  </si>
  <si>
    <t>Nguyễn Xuân Khang</t>
  </si>
  <si>
    <t>011023000172</t>
  </si>
  <si>
    <t>Phòng 23B, Tòa nhà số 22, phố Láng Hạ, Phường Láng Hạ, Quận Đống Đa, Thành Phố Hà Nội, Việt Nam</t>
  </si>
  <si>
    <t>090 2048624</t>
  </si>
  <si>
    <t>thuhoai@securemetric.com.vn</t>
  </si>
  <si>
    <t>law seeh key</t>
  </si>
  <si>
    <t>TRƯỜNG TIỂU HỌC MARIE CURIE II - CHI NHÁNH CÔNG TY CỔ PHẦN GIÁO DỤC VÀ DỊCH VỤ BÌNH MINH</t>
  </si>
  <si>
    <t xml:space="preserve">Tổ 1 - Phường Kiến Hưng - Quận Hà Đông - Hà Nội - Việt Nam 
</t>
  </si>
  <si>
    <t>Chị Nhung 0936611968</t>
  </si>
  <si>
    <t>CA2-e5000</t>
  </si>
  <si>
    <t>Chị Nhung</t>
  </si>
  <si>
    <t>0105230113</t>
  </si>
  <si>
    <t>Xóm 14, thôn Lại Đà - Xã Đông Hội - Huyện Đông Anh - Hà Nội.</t>
  </si>
  <si>
    <t>Nguyễn Đức Thịnh</t>
  </si>
  <si>
    <t>CÔNG TY TNHH FLEUR_MINH QUÂN - Lê</t>
  </si>
  <si>
    <t>CÔNG TY CP ĐẦU TƯ XÂY DỰNG VÀ VẬN TẢI THỊNH PHÁT - Thơ</t>
  </si>
  <si>
    <t>0107621666</t>
  </si>
  <si>
    <t>Số 10 BT3 Nguyễn Duy Trinh, bán đảo Linh Đàm – Hoàng Liệt – Hoàng Mai - Hà Nội – Việt Nam</t>
  </si>
  <si>
    <t>Chị Lê NCM</t>
  </si>
  <si>
    <t>Xuanntl@hhg.vn</t>
  </si>
  <si>
    <t>Hà Đức Hạnh</t>
  </si>
  <si>
    <t>15/1/2019</t>
  </si>
  <si>
    <t>CÔNG TY CỔ PHẦN KIẾN TRÚC SƯ ĐẶNG MINH HẢI VÀ CỘNG SỰ</t>
  </si>
  <si>
    <t>0108416155</t>
  </si>
  <si>
    <t>Số 1/58 ngõ 41 Thái Hà - Phường Trung Liệt - Quận Đống đa - Hà Nội – Việt Nam</t>
  </si>
  <si>
    <t>Chúc - 0979358688</t>
  </si>
  <si>
    <t>Vũ Thị Thương Thương</t>
  </si>
  <si>
    <t>E-BH Basic 1</t>
  </si>
  <si>
    <t>16/01/2019</t>
  </si>
  <si>
    <t>14/01/2019</t>
  </si>
  <si>
    <t>3600262193-022</t>
  </si>
  <si>
    <t>Thôn Thắng Lợi - Xã Phú Cần - Huyện Krông Pa - Gia Lai - Việt Nam.</t>
  </si>
  <si>
    <t>CHI NHÁNH CÔNG TY CỔ PHẦN HÒA VIỆT TẠI GIA LAI - Chị Chung thuê Gia Lai</t>
  </si>
  <si>
    <t>Anh Lãm - 0965930479</t>
  </si>
  <si>
    <t>nguyenquoclam76n@gmail.com</t>
  </si>
  <si>
    <t xml:space="preserve">Trần Thanh Khiêm               </t>
  </si>
  <si>
    <t>16/1/2020</t>
  </si>
  <si>
    <t>0315473779</t>
  </si>
  <si>
    <t>19/14 Hồ Văn Huê, Phường 9, Quận Phú Nhuận, Thành phố Hồ Chí Minh, Việt Nam</t>
  </si>
  <si>
    <t>40% +150K</t>
  </si>
  <si>
    <t>0106027675</t>
  </si>
  <si>
    <t>Số 176, phố Định Công - Phường Định Công - Quận Hoàng Mai - Hà Nội - Việt Nam.</t>
  </si>
  <si>
    <t>nhungnt@vanphongpham24.com</t>
  </si>
  <si>
    <t>Nhung Văn phòng phẩm: 0966540566</t>
  </si>
  <si>
    <t>Nguyễn Cường Thịnh</t>
  </si>
  <si>
    <t>17/1/2019</t>
  </si>
  <si>
    <t xml:space="preserve"> 0104491803</t>
  </si>
  <si>
    <t>Tổ 36 - Phường Hoàng Văn Thụ - Quận Hoàng Mai - Hà Nội.</t>
  </si>
  <si>
    <t>CÔNG TY TNHH CƠ NHIỆT ĐIỆN MÔI TRƯỜNG BÁCH KHOA - Chị Lê NCM</t>
  </si>
  <si>
    <t>CÔNG TY TNHH APS VIỆT NAM - Chị Nhung VPP</t>
  </si>
  <si>
    <t>CÔNG TY TNHH ZACOM VIỆT NAM - Chúc</t>
  </si>
  <si>
    <t>CÔNG TY CỔ PHẦN THIẾT KẾ INDIGO ART ASIA - Chị Lê NCM</t>
  </si>
  <si>
    <t>CÔNG TY TNHH CÔNG NGHỆ SECUREMETRIC - Chúc</t>
  </si>
  <si>
    <t>thuyhangb2002@gmail.com</t>
  </si>
  <si>
    <t>Phạm Văn Hậu</t>
  </si>
  <si>
    <t>17/1/2022</t>
  </si>
  <si>
    <t>ok - 2907300</t>
  </si>
  <si>
    <t>CÔNG TY TNHH GREEN ECOSYSTEM HÀ NỘI</t>
  </si>
  <si>
    <t>0108337231</t>
  </si>
  <si>
    <t>Hai Bà Trưng</t>
  </si>
  <si>
    <t>Số 84 Ngõ Trại Cá - Phường Trương Định - Quận Hai Bà Trưng - Hà Nội - Việt Nam</t>
  </si>
  <si>
    <t>Man</t>
  </si>
  <si>
    <t>Ltmankt@gmail.com</t>
  </si>
  <si>
    <t>23/1/2019 - Ra tết</t>
  </si>
  <si>
    <t>21/01/2019</t>
  </si>
  <si>
    <t xml:space="preserve"> CÔNG TY TNHH MỘT THÀNH VIÊN GẤU TRÚC ĐẠI BẢO - Thơ</t>
  </si>
  <si>
    <t>3702190967</t>
  </si>
  <si>
    <t>Số 84 Ngõ Trại Cá - Phường Trương Định - Quận Hai Bà Trưng - Hà Nội.</t>
  </si>
  <si>
    <t>Thơ</t>
  </si>
  <si>
    <t>25/01/2019</t>
  </si>
  <si>
    <t>0201931721</t>
  </si>
  <si>
    <t>Số 10 tổ 12 - Phường Đông Khê - Quận Ngô Quyền - Hải Phòng - Việt Nam.</t>
  </si>
  <si>
    <t>Hòa Kế toán</t>
  </si>
  <si>
    <t>CÔNG TY TNHH XÂY DỰNG THƯƠNG MẠI THIÊN VINH - Hòa kế toán</t>
  </si>
  <si>
    <t xml:space="preserve">nguyenvantien02021969.hp@gmail.com
</t>
  </si>
  <si>
    <t xml:space="preserve">Nguyễn Văn Vinh                  </t>
  </si>
  <si>
    <t>5701913102</t>
  </si>
  <si>
    <t>Số 1, Đại lộ Hòa Bình, Phường Trần Phú, Thành phố Móng cái, Quảng Ninh, Việt Nam.</t>
  </si>
  <si>
    <t>Hương Vợ Hưng QN</t>
  </si>
  <si>
    <t>hoaihuongtn@gmail.com</t>
  </si>
  <si>
    <t xml:space="preserve">Phạm Văn Hùng               </t>
  </si>
  <si>
    <t>25/01/2021</t>
  </si>
  <si>
    <t>CTV</t>
  </si>
  <si>
    <t>CHÚC</t>
  </si>
  <si>
    <t>THƠ</t>
  </si>
  <si>
    <t>CHỊ HƯƠNG KẾ TOÁN</t>
  </si>
  <si>
    <t>CHỊ LÊ</t>
  </si>
  <si>
    <t>CHỊ NHUNG</t>
  </si>
  <si>
    <t>CHỊ CHUNG THUẾ GIA LAI</t>
  </si>
  <si>
    <t>CHỊ NHUNG VPP</t>
  </si>
  <si>
    <t>HÒA KẾ TOÁN</t>
  </si>
  <si>
    <t>HƯNG QUẢNG NINH</t>
  </si>
  <si>
    <t>CÔNG TY TNHH THƯƠNG MẠI VÀ PHÁT TRIỂN THU NGỌC</t>
  </si>
  <si>
    <t>0103008917</t>
  </si>
  <si>
    <t xml:space="preserve"> số 9A phố Hàng Dầu, phường Hàng Bạc - Quận Hoàn Kiếm - Hà Nội.</t>
  </si>
  <si>
    <t>0972055268</t>
  </si>
  <si>
    <t>Nguyễn Đình Thuận</t>
  </si>
  <si>
    <t>46 tháng</t>
  </si>
  <si>
    <t>CÔNG TY CỔ PHẦN THƯƠNG MẠI VÀ THUỐC THÚ Y HÙNG CƯỜNG</t>
  </si>
  <si>
    <t>0102395029</t>
  </si>
  <si>
    <t>Số 535, đường Kim Ngưu - Phường Vĩnh Tuy - Quận Hai Bà Trưng - Hà Nội.</t>
  </si>
  <si>
    <t>0903454888</t>
  </si>
  <si>
    <t xml:space="preserve"> hungcuong2051@yahoo.com.vn</t>
  </si>
  <si>
    <t>An Thị Kim Hương</t>
  </si>
  <si>
    <t>CÔNG TY CỔ PHẦN ĐẦU TƯ SẢN XUẤT VÀ XUẤT NHẬP KHẨU HÒA BÌNH</t>
  </si>
  <si>
    <t>ĐẠI LÝ HÀ VIỆT</t>
  </si>
  <si>
    <t>0108591823</t>
  </si>
  <si>
    <t>Số 16, Khu Sông Công - Phường Hà Cầu - Quận Hà Đông - Hà Nội - Việt Nam</t>
  </si>
  <si>
    <t>0976799237</t>
  </si>
  <si>
    <t xml:space="preserve">Tào Thị Chính                 </t>
  </si>
  <si>
    <t>36 tháng</t>
  </si>
  <si>
    <t>30/1/2019</t>
  </si>
  <si>
    <t>HỢP TÁC XÃ ĐẦU TƯ NGÔI SAO MỚI</t>
  </si>
  <si>
    <t>Khách lẻ</t>
  </si>
  <si>
    <t>0108350514</t>
  </si>
  <si>
    <t>Số 8 ngách 351/81/3 đường Thụy Phương - P. Thụy Phương - Q. Bắc Từ Liêm - TP Hà Nội - Việt Nam</t>
  </si>
  <si>
    <t>0796987401</t>
  </si>
  <si>
    <t>maihuongbn8@gmail.com</t>
  </si>
  <si>
    <t xml:space="preserve">NGUYỄN THANH TÙNG            </t>
  </si>
  <si>
    <t>24 tháng</t>
  </si>
  <si>
    <t>14/2/2019</t>
  </si>
  <si>
    <t>Chị Dương</t>
  </si>
  <si>
    <t>Tầng 2, tòa nhà Trung Yên 1, KĐT Trung Yên, P. Trung Hoà, Q. Cầu Giấy, TP Hà Nội, Việt Nam</t>
  </si>
  <si>
    <t>0945066999</t>
  </si>
  <si>
    <t>CÔNG TY TNHH IN VÀ TRUYỀN THÔNG NEWSTAR</t>
  </si>
  <si>
    <t xml:space="preserve">  0106982853</t>
  </si>
  <si>
    <t>Số 103, Tổ 31, Tập thể Bộ Nội Thương - Phường Thịnh Quang - Quận Đống Đa - Thành Phố Hà Nội - Việt Nam</t>
  </si>
  <si>
    <t>Hòa KT</t>
  </si>
  <si>
    <t xml:space="preserve"> tranthao.progift@gmail.com</t>
  </si>
  <si>
    <t>19/02/2019</t>
  </si>
  <si>
    <t>CÔNG TY TNHH CÔNG NGHIỆP DŨNG THỊNH VIỆT NAM</t>
  </si>
  <si>
    <t>Anh Khoa</t>
  </si>
  <si>
    <t>2700884767</t>
  </si>
  <si>
    <t>Lô C5, Khu công nghiệp Khánh Phú, Xã Khánh Phú, Huyện Yên Khánh, Ninh Bình, Việt Nam</t>
  </si>
  <si>
    <t>0982072468</t>
  </si>
  <si>
    <t>19/02/2020</t>
  </si>
  <si>
    <t>CÔNG TY CỔ PHẦN VIETMAP HÀ NỘI</t>
  </si>
  <si>
    <t>0104938425</t>
  </si>
  <si>
    <t>Số 22, Phố Xã Đàn, Phường Phương Liên, Quận Đống Đa, TP Hà Nội, Việt Nam</t>
  </si>
  <si>
    <t>huongnt@vietmaphanoi.vn</t>
  </si>
  <si>
    <t>Nguyễn Bá Thịnh</t>
  </si>
  <si>
    <t>CA2-eI5000</t>
  </si>
  <si>
    <r>
      <t xml:space="preserve">CÔNG TY TNHH THƯƠNG MẠI VÀ DU LỊCH QUỐC TẾ HÒA BÌNH - </t>
    </r>
    <r>
      <rPr>
        <sz val="12"/>
        <color rgb="FFFF0000"/>
        <rFont val="Times New Roman"/>
        <family val="1"/>
      </rPr>
      <t>Hết hóa đơn tháng 1 - xuất và ck vào tháng 2</t>
    </r>
  </si>
  <si>
    <t>21/02/2019</t>
  </si>
  <si>
    <t>CÔNG TY CỔ PHẦN TƯ VẤN VÀ ĐẦU TƯ VICGROUP VIỆT NAM</t>
  </si>
  <si>
    <t>VPL Giang</t>
  </si>
  <si>
    <t>0108617278</t>
  </si>
  <si>
    <t xml:space="preserve">Số 9, Tổ 25, Phố Thanh Am, Phường Thượng Thanh, Quận Long Biên, Thành phố Hà Nội </t>
  </si>
  <si>
    <t>truyenthong.vicgroup@gmail.com</t>
  </si>
  <si>
    <t>Hoàng Thu Trang</t>
  </si>
  <si>
    <t>Nguyễn Công Diệm</t>
  </si>
  <si>
    <t>21/2/2022</t>
  </si>
  <si>
    <t>25/02/2019</t>
  </si>
  <si>
    <t>CÔNG TY CỔ PHẦN PHÁT TRIỂN TRÍ ĐỨC</t>
  </si>
  <si>
    <t>0103925737</t>
  </si>
  <si>
    <t>Số nhà 28 Lô 14B đường Trung Yên 11 - Phường Trung Hoà - Quận Cầu Giấy - Hà Nội - Việt Nam</t>
  </si>
  <si>
    <t xml:space="preserve"> 0364535286</t>
  </si>
  <si>
    <t xml:space="preserve"> daoyen88@gmail.com</t>
  </si>
  <si>
    <t>Trần Trọng Trịnh</t>
  </si>
  <si>
    <t>25/2/2020</t>
  </si>
  <si>
    <t>Km khách 100K</t>
  </si>
  <si>
    <t>ok - tk long</t>
  </si>
  <si>
    <t>ok-tk long</t>
  </si>
  <si>
    <t>26/02/2019</t>
  </si>
  <si>
    <t>CÔNG TY TNHH VLXD HÙNG ANH THÁI NGUYÊN</t>
  </si>
  <si>
    <t>Số 151, đường Hoàng Văn Thụ, tổ 12 - Phường Phan Đình Phùng - Thành phố Thái Nguyên - Thái Nguyên - Việt Nam</t>
  </si>
  <si>
    <t>4600348438</t>
  </si>
  <si>
    <t>Chị Lan Anh '0833501262</t>
  </si>
  <si>
    <t>dnhunganhtn@gmail.com</t>
  </si>
  <si>
    <t xml:space="preserve">Trần Văn Hùng                          </t>
  </si>
  <si>
    <t>Gian hạn</t>
  </si>
  <si>
    <t>26/02/2022</t>
  </si>
  <si>
    <t>Công ty TNHH Shinsung Control Việt Nam</t>
  </si>
  <si>
    <t>Chị Lan Anh</t>
  </si>
  <si>
    <t>0105265677</t>
  </si>
  <si>
    <t xml:space="preserve">CÔNG TY TNHH SHINSUNG CONTROL VIỆT NAM </t>
  </si>
  <si>
    <t>Hố sơ</t>
  </si>
  <si>
    <t>Ký điện tử</t>
  </si>
  <si>
    <t>CÔNG TY TNHH ĐẦU TƯ THƯƠNG MẠI VÀ DỊCH VỤ THIÊN LINH</t>
  </si>
  <si>
    <t>0107525803</t>
  </si>
  <si>
    <t>Số 14, ngách 8/11/74 đường Lê Quang Đạo, tổ 6 - Phường Phú Đô - Quận Nam Từ Liêm - Hà Nội - Việt Nam.</t>
  </si>
  <si>
    <t>Đặng Trung Thành</t>
  </si>
  <si>
    <t>ketoanthuctegiaminh@gmail.com</t>
  </si>
  <si>
    <t>3 năm</t>
  </si>
  <si>
    <t>0108609686</t>
  </si>
  <si>
    <t>CÔNG TY TNHH THIẾT BỊ VÀ DỊCH VỤ KỸ THUẬT NBK VIỆT NAM</t>
  </si>
  <si>
    <t xml:space="preserve">Tầng 2 Tòa nhà Trung Yên 1, KĐT Trung Yên - Phường Trung Hoà - Quận Cầu Giấy - Hà Nội -  Việt Nam
</t>
  </si>
  <si>
    <t xml:space="preserve">Nguyễn Thị Tứ               </t>
  </si>
  <si>
    <t>Ký đt</t>
  </si>
  <si>
    <t>CÔNG TY TNHH NGŨ DIỆP</t>
  </si>
  <si>
    <t>0108270756</t>
  </si>
  <si>
    <t>Số 27, Ngõ 89, Phố Xã Đàn - Phường Phương Liên - Quận Đống đa - Hà Nội - Việt Nam</t>
  </si>
  <si>
    <t xml:space="preserve">Giang Thị Lương Hà                   </t>
  </si>
  <si>
    <t>Ký ĐT</t>
  </si>
  <si>
    <t>TT 1100k</t>
  </si>
  <si>
    <t>1827100- tk Nacencomm</t>
  </si>
  <si>
    <t>CÔNG TY TNHH CUNG ỨNG VÀ DỊCH VỤ KHCN VIỆT PROTON</t>
  </si>
  <si>
    <t>A Quang</t>
  </si>
  <si>
    <t>0104054401</t>
  </si>
  <si>
    <t xml:space="preserve"> Số 387, tổ 26 - Phường Hoàng Văn Thụ - Quận Hoàng Mai - Hà Nội.</t>
  </si>
  <si>
    <t>Cô Hà 0904376656
Chú Tài: 0914205756</t>
  </si>
  <si>
    <t>Đặng Thị Minh Hà</t>
  </si>
  <si>
    <t>Số 12 ngách 1, ngõ 2 xóm Chùa, Thanh Oai - Xã Hữu Hoà - Huyện Thanh Trì - Hà Nội – Việt Nam</t>
  </si>
  <si>
    <t>Quatangytuongvang02@gmail.com</t>
  </si>
  <si>
    <t>Nguyễn Thị Phượng</t>
  </si>
  <si>
    <t>CÔNG TY TNHH SẢN XUẤT QUÀ TẶNG ĐỐI NGOẠI Ý TƯỞNG VÀNG - Thơ</t>
  </si>
  <si>
    <t>13/3/2019</t>
  </si>
  <si>
    <t>CÔNG TY TNHH THƯƠNG MẠI DỊCH VỤ THIỆN LONG</t>
  </si>
  <si>
    <t>0201947383</t>
  </si>
  <si>
    <t>Số 9/96 Lạch Tray - Phường Đằng Giang - Quận Ngô Quyền - Hải Phòng - Việt Nam</t>
  </si>
  <si>
    <t>nguyenvantien02021969.hp@gmail.com</t>
  </si>
  <si>
    <t xml:space="preserve">Hứa Kim Hùng                               </t>
  </si>
  <si>
    <t>13/3/2022</t>
  </si>
  <si>
    <t>Hồ sơ cứng</t>
  </si>
  <si>
    <t>CÔNG TY TNHH CAO THANH VĨNH PHÚC</t>
  </si>
  <si>
    <t>Vĩnh Phúc</t>
  </si>
  <si>
    <t>Số 12, ngõ 11, phố Trần Quốc Tuấn - Phường Ngô Quyền - Thành phố Vĩnh Yên - Vĩnh Phúc - Việt Nam</t>
  </si>
  <si>
    <t xml:space="preserve">Cao Thành Trung                                     </t>
  </si>
  <si>
    <t>14/3/2019</t>
  </si>
  <si>
    <t>CÔNG TY CỔ PHẦN BAO BÌ GIẤY KIẾN AN</t>
  </si>
  <si>
    <t>0305635318</t>
  </si>
  <si>
    <t>89A Lý Phục Man - Phường Bình Thuận - Quận 7 - TP Hồ Chí Minh - Việt Nam.</t>
  </si>
  <si>
    <t>0914.786.373</t>
  </si>
  <si>
    <t>baobikienanacc@gmail.com</t>
  </si>
  <si>
    <t xml:space="preserve">TRẦN NGỌC NHÃ                           </t>
  </si>
  <si>
    <t>14/3/2022</t>
  </si>
  <si>
    <t>TT 2300K</t>
  </si>
  <si>
    <t>18/3/2019</t>
  </si>
  <si>
    <t>CÔNG TY CỔ PHẦN ĐẦU TƯ SUỐI NGỌC</t>
  </si>
  <si>
    <t xml:space="preserve">0105827372 </t>
  </si>
  <si>
    <t>Chương Mỹ</t>
  </si>
  <si>
    <t>Km 24, quốc lộ 6, Xã Tiên Phương, Huyện Chương Mỹ, Thành Phố Hà Nội, Việt Nam</t>
  </si>
  <si>
    <t>Luân : 0988204583</t>
  </si>
  <si>
    <t>20/3/2019</t>
  </si>
  <si>
    <t>CHI NHÁNH CÔNG TY TNHH THANH BÌNH - TẠI SƠN LA</t>
  </si>
  <si>
    <t>5100145907-001</t>
  </si>
  <si>
    <t>Số 317 - Tổ1 Phường Tô Hiệu - - TP. Sơn La - Sơn La.</t>
  </si>
  <si>
    <t>Phạm Cao Hoà</t>
  </si>
  <si>
    <t>21/3/2022</t>
  </si>
  <si>
    <t>22/3/2019</t>
  </si>
  <si>
    <t>Công ty TNHH Dịch vụ Mặt trời đỏ</t>
  </si>
  <si>
    <t>Số 54 Ngọc Lâm - Phường Ngọc Lâm - Quận Long Biên - Hà Nội – Việt Nam.</t>
  </si>
  <si>
    <t>0108656573</t>
  </si>
  <si>
    <t>0947716284</t>
  </si>
  <si>
    <t>thuy84tt@gmail.com</t>
  </si>
  <si>
    <t>Văn Thị Minh Lan</t>
  </si>
  <si>
    <t>22/03/2022</t>
  </si>
  <si>
    <t>CÔNG TY CỔ PHẦN THANG MÁY VÀ THIẾT BỊ BẢO AN</t>
  </si>
  <si>
    <t>Nam từ liêm</t>
  </si>
  <si>
    <t>Số 3 ngõ 50/40 phố Mễ Trì Thượng - Phường Mễ Trì - Quận Nam Từ Liêm - Hà Nội - Việt Nam</t>
  </si>
  <si>
    <t xml:space="preserve">Nguyễn Xuân Xiêm            </t>
  </si>
  <si>
    <t>CÔNG TY TNHH DỊCH VỤ NHÀ HÀNG MẶT TRỜI ĐỎ</t>
  </si>
  <si>
    <t>5402bc5cacce669c2015000000038d5b</t>
  </si>
  <si>
    <t>Số 54 Ngọc Lâm - Phường Ngọc Lâm - Quận Long Biên - Hà Nội – Việt Nam</t>
  </si>
  <si>
    <t xml:space="preserve">Văn Thị Minh Lan                     </t>
  </si>
  <si>
    <t>TT TK CTY Nacencomm</t>
  </si>
  <si>
    <t>TT cho chuyển địa điểm</t>
  </si>
  <si>
    <t>Ngày</t>
  </si>
  <si>
    <t>TT Ncencomm</t>
  </si>
  <si>
    <t>26/3/2019</t>
  </si>
  <si>
    <t>CÔNG TY CỔ PHẦN ĐIỆN MÁY CÔNG NGHIỆP TUẤN MINH</t>
  </si>
  <si>
    <t>A Cường kế toán</t>
  </si>
  <si>
    <t>0108635911</t>
  </si>
  <si>
    <t>Km21, Đường 70 - Phường Minh Khai - Quận Bắc Từ Liêm - Hà Nội - Việt Nam.</t>
  </si>
  <si>
    <t>0985260450</t>
  </si>
  <si>
    <t>dienmaytuanminh88@gmail.com</t>
  </si>
  <si>
    <t xml:space="preserve">Phạm Xuân Hiến                      </t>
  </si>
  <si>
    <t>26/03/2022</t>
  </si>
  <si>
    <t>26/03/209</t>
  </si>
  <si>
    <t xml:space="preserve">Phạm Xuân Hiến              </t>
  </si>
  <si>
    <t>Bắc Từ Liêm</t>
  </si>
  <si>
    <t>Anh Cường Kế toán</t>
  </si>
  <si>
    <t xml:space="preserve">Phạm Xuân Hiến    </t>
  </si>
  <si>
    <t xml:space="preserve">Số hóa đơn </t>
  </si>
  <si>
    <t>CK Nacencomm</t>
  </si>
  <si>
    <t>26/03/2019</t>
  </si>
  <si>
    <t>CÔNG TY CỔ PHẦN DU LỊCH VÀ SỰ KIỆN VPLUS VIỆT NAM</t>
  </si>
  <si>
    <t>0104163841</t>
  </si>
  <si>
    <t>Tầng 5, số 165 phố Giảng Võ - Phường Cát Linh - Quận Đống đa - Hà Nội - Việt Nam</t>
  </si>
  <si>
    <t xml:space="preserve">Nguyễn Đức Anh                              </t>
  </si>
  <si>
    <t>ck long 1893300</t>
  </si>
  <si>
    <t>ck nacencomm 2110000</t>
  </si>
  <si>
    <t>1000K ck long</t>
  </si>
  <si>
    <t>400K ck long</t>
  </si>
  <si>
    <t>2000K tk long</t>
  </si>
  <si>
    <t>29/03/2019</t>
  </si>
  <si>
    <t>Công ty CP DTN Việt Nam</t>
  </si>
  <si>
    <t>0982987438</t>
  </si>
  <si>
    <t>090101226</t>
  </si>
  <si>
    <t>Thôn An Lạc, Xã Đồng Tiến, Khoái Châu, Hưng Yên</t>
  </si>
  <si>
    <t>thuongkt1994@gmail.com</t>
  </si>
  <si>
    <t>LẠI Đình Duy</t>
  </si>
  <si>
    <t>30/032020</t>
  </si>
  <si>
    <t>CÔNG TY TNHH XÂY DỰNG VÀ KIẾN TRÚC SH</t>
  </si>
  <si>
    <t>0108029011</t>
  </si>
  <si>
    <t>Số 7, ngõ 211 Khương Trung - Phường Khương Trung - Quận Thanh Xuân - Hà Nội -  Việt Nam</t>
  </si>
  <si>
    <t>sharc.vn@gmail.com</t>
  </si>
  <si>
    <t xml:space="preserve">Mai Việt Hoàng                           </t>
  </si>
  <si>
    <t>54 01 01 09 62 a2 dd 57 76 c4 b2 ba 8d 00 84 97</t>
  </si>
  <si>
    <t>CÔNG TY CỔ PHẦN MYRING</t>
  </si>
  <si>
    <t>CÔNG TY TNHH TRUYỀN THÔNG IQ VIỆT NAM</t>
  </si>
  <si>
    <t>CÔNG TY CỔ PHẦN MAX PRO VIỆT NAM</t>
  </si>
  <si>
    <t>CÔNG TY CỔ PHẦN EDUGLOBAL VIỆT NAM</t>
  </si>
  <si>
    <t>0106886885</t>
  </si>
  <si>
    <t>0102629421</t>
  </si>
  <si>
    <t>0106804699</t>
  </si>
  <si>
    <t>0106767581</t>
  </si>
  <si>
    <t>CÔNG TY TNHH THƯƠNG MẠI VẬN TẢI CAO QUÝ</t>
  </si>
  <si>
    <t>0201618438</t>
  </si>
  <si>
    <t>Thôn 9 (nhà bà Vũ Thị Đậm) - Xã An Sơn - Huyện Thuỷ Nguyên - Hải Phòng.</t>
  </si>
  <si>
    <t>Công ty Cổ phần Đầu tư Thịnh Phát</t>
  </si>
  <si>
    <t>Số 276 Phố Yên Duyên, phường Yên Sở, quận Hoàng Mai, Hà Nội. Việt Nam</t>
  </si>
  <si>
    <t>Huyền: 0904150062</t>
  </si>
  <si>
    <t>huyen.nguyenthu78@gmail.com</t>
  </si>
  <si>
    <t>Nguyễn Thị Thu Huyền</t>
  </si>
  <si>
    <t>5401d9c482d3cbb6109be4de87035bd5</t>
  </si>
  <si>
    <t>Anh Văn</t>
  </si>
  <si>
    <t>CÔNG TY CỔ PHẦN TƯ VẤN ĐẦU TƯ NAM KHÔI</t>
  </si>
  <si>
    <t>0108651737</t>
  </si>
  <si>
    <t>Số 28, ngõ 3, xóm Bờ Hội - Phường La Khê - Quận Hà Đông - Hà Nội – Việt Nam</t>
  </si>
  <si>
    <t>0984908857</t>
  </si>
  <si>
    <t>Chugiang270@gmail.com</t>
  </si>
  <si>
    <t xml:space="preserve">Nguyễn Đình Hà An                               </t>
  </si>
  <si>
    <t>CÔNG TY CỔ PHẦN BW JAPAN</t>
  </si>
  <si>
    <t>0108674445</t>
  </si>
  <si>
    <t>Nhà 20A, Lô 3, Ngõ 217 Đường Đê La Thành - Phường ô Chợ Dừa - Quận Đống đa - Hà Nội – Việt Nam</t>
  </si>
  <si>
    <t>0912625868</t>
  </si>
  <si>
    <t xml:space="preserve">Đỗ Ngọc Phương                               </t>
  </si>
  <si>
    <t>CÔNG TY TNHH DECENT TECH VIỆT NAM</t>
  </si>
  <si>
    <t>Số 4, Ngõ 697 đường Giải Phóng - Phường Giáp Bát - Quận Hoàng Mai - Hà Nội – Việt Nam</t>
  </si>
  <si>
    <t>Chu Sơn Hà</t>
  </si>
  <si>
    <t>CÔNG TY CỔ PHẦN SẢN XUẤT - THƯƠNG MẠI NEW SKY VIỆT NAM</t>
  </si>
  <si>
    <t>0107268095</t>
  </si>
  <si>
    <t>Tầng 2, CC viện chiến lược khoa học Bộ Công An, phố Nguyễn Chánh - Phường Trung Hoà - Quận Cầu Giấy - Hà Nội– Việt Nam</t>
  </si>
  <si>
    <t>Nguyễn Văn Tùng</t>
  </si>
  <si>
    <t>CÔNG TY TNHH MINH NHẬT</t>
  </si>
  <si>
    <t>Anh Nhiệm</t>
  </si>
  <si>
    <t>3500762805</t>
  </si>
  <si>
    <t>Số 101 Huyền Trần Công Chúa - Phường 8 - Thành Phố Vũng Tàu - Bà Rịa - Vũng Tàu - Việt Nam</t>
  </si>
  <si>
    <t>0948923653</t>
  </si>
  <si>
    <t>nhiemtruong@gmail.com</t>
  </si>
  <si>
    <t xml:space="preserve">Trương Thị Minh Thư     </t>
  </si>
  <si>
    <t>2907300 TK Nacencomm</t>
  </si>
  <si>
    <t>Trả tiền mặt Long</t>
  </si>
  <si>
    <t xml:space="preserve">CÔNG TY CỔ PHẦN ĐẦU TƯ VÀ PHÁT TRIỂN PHÒNG CHÁY CHỮA CHÁY VIỆT NAM
</t>
  </si>
  <si>
    <t>0108167413</t>
  </si>
  <si>
    <t>0103820815</t>
  </si>
  <si>
    <t>Số 42E ngõ 15 Đường Bằng Liệt - Phường Hoàng Liệt - Quận Hoàng Mai –Thành phố Hà Nội– Việt Nam</t>
  </si>
  <si>
    <t>0919882114</t>
  </si>
  <si>
    <t>ductampccc@gmail.com</t>
  </si>
  <si>
    <t>Phạm Đức Tâm</t>
  </si>
  <si>
    <t>ca2-eI300</t>
  </si>
  <si>
    <t>Hso điện tử</t>
  </si>
  <si>
    <t>Hso Cứng</t>
  </si>
  <si>
    <t>CK Long 405K</t>
  </si>
  <si>
    <t>CÔNG TY CỔ PHẦN ALLOGICAL VIỆT NAM</t>
  </si>
  <si>
    <t>0108685408</t>
  </si>
  <si>
    <t>0106142082</t>
  </si>
  <si>
    <t>02500623768</t>
  </si>
  <si>
    <t>0108567683</t>
  </si>
  <si>
    <t>Hoàng mai</t>
  </si>
  <si>
    <t>13/042019</t>
  </si>
  <si>
    <t xml:space="preserve">CÔNG TY CỔ PHẦN CÔNG NGHỆ PHẦN MỀM NSOFT </t>
  </si>
  <si>
    <t xml:space="preserve">Phòng 601 tầng 6 Tòa nhà Sky City Tower, 88 Láng Hạ - Phường Láng Hạ - Quận Đống đa - Hà Nội - Việt Nam </t>
  </si>
  <si>
    <t>0106967005</t>
  </si>
  <si>
    <t xml:space="preserve">congnghephanmemnsoft@gmail.com </t>
  </si>
  <si>
    <t xml:space="preserve">Hoàng Thị Huyền Trang    </t>
  </si>
  <si>
    <t>2 năm</t>
  </si>
  <si>
    <t>16/04/2019</t>
  </si>
  <si>
    <t>Công Ty TNHH Vật Tư Thiết Bị Y Tế An Phát</t>
  </si>
  <si>
    <t>0106836595</t>
  </si>
  <si>
    <t>Số Nhà L8 Tổ Dân Phố 6, Phường Vạn Phúc, Quận Hà Đông, TP Hà Nội, Việt Nam</t>
  </si>
  <si>
    <t>Tuyên kế toán</t>
  </si>
  <si>
    <t>thietbiyteanphat@gmail.com</t>
  </si>
  <si>
    <t>Trịnh Đình Anh</t>
  </si>
  <si>
    <t>E-BH Basic 2</t>
  </si>
  <si>
    <t>CÔNG TY CỔ PHẦN ĐẦU TƯ SÀI GÒN PROPERTIES</t>
  </si>
  <si>
    <t>0106042352</t>
  </si>
  <si>
    <t>Số nhà 20, ngõ 32A, phố Hào Nam - Phường ô Chợ Dừa - Quận Đống đa - Hà Nội - Việt Nam.</t>
  </si>
  <si>
    <t>Kimdung3959@gmail.com</t>
  </si>
  <si>
    <t>Lê Hưng Tâm</t>
  </si>
  <si>
    <t>22/04/2019</t>
  </si>
  <si>
    <t>CÔNG TY TNHH THIẾT KẾ XÂY DỰNG IDEA</t>
  </si>
  <si>
    <t>0311006501</t>
  </si>
  <si>
    <t>314 Lô B2 Đường 48 - phường 03 - Quận 4 - TP Hồ Chí Minh - Việt Nam</t>
  </si>
  <si>
    <t>Chị Châu - 0986686903</t>
  </si>
  <si>
    <t>Congtyidea.hcm@gmail.com</t>
  </si>
  <si>
    <t xml:space="preserve">Đặng Thị Ngọc Châu                        </t>
  </si>
  <si>
    <t>1 năm</t>
  </si>
  <si>
    <t>22/04/2021</t>
  </si>
  <si>
    <t>CÔNG TY TNHH VẬN TẢI VÀ XUẤT NHẬP KHẨU TRANG THÀNH</t>
  </si>
  <si>
    <t>0201629292</t>
  </si>
  <si>
    <t>22/04/2022</t>
  </si>
  <si>
    <t>CK Nacencomm 1000K</t>
  </si>
  <si>
    <t>Đã TT Nacencomm</t>
  </si>
  <si>
    <t>2022800 ck Nacencoom</t>
  </si>
  <si>
    <t>Đã chuyển Nacencomm</t>
  </si>
  <si>
    <t>23/04/2019</t>
  </si>
  <si>
    <t>CÔNG TY CỔ PHẦN TƯ VẤN VÀ KIỂM ĐỊNH XÂY DỰNG TRƯỜNG SƠN</t>
  </si>
  <si>
    <t>0106504399</t>
  </si>
  <si>
    <t>Thôn Yên Xá - Xã Tân Triều - Huyện Thanh Trì - Hà Nội - Việt Nam.</t>
  </si>
  <si>
    <t>Đào Duy Phương</t>
  </si>
  <si>
    <t>CK Nacencomm - 520k</t>
  </si>
  <si>
    <t>CÔNG TY CỔ PHẦN TRUYỀN THÔNG VÀ DU LỊCH FRESH BOOKINGS</t>
  </si>
  <si>
    <t>0401968937</t>
  </si>
  <si>
    <t xml:space="preserve">Quận Cẩm Lệ </t>
  </si>
  <si>
    <t>72 Hoàng Thế Thiện - Phường Hoà Xuân - Quận Cẩm Lệ - TP.Đà Nẵng - Việt Nam</t>
  </si>
  <si>
    <t>E Thu CTV</t>
  </si>
  <si>
    <t>tuyetthucit@gmail.com</t>
  </si>
  <si>
    <t xml:space="preserve">Trần Quang Trí  </t>
  </si>
  <si>
    <t>540823da4fec45274e04f0d405bff74e</t>
  </si>
  <si>
    <t>Đã TT Nacencomm-520k</t>
  </si>
  <si>
    <t>Đã CK Nacencomm</t>
  </si>
  <si>
    <t>Đã CK long</t>
  </si>
  <si>
    <t>24/04/2019</t>
  </si>
  <si>
    <t>CÔNG TY TNHH XAVIA BEAUTY</t>
  </si>
  <si>
    <t>0315211300</t>
  </si>
  <si>
    <t>60D Cao Thắng - Phuờng 05 - Quận 3 - TP Hồ Chí Minh – Việt Nam</t>
  </si>
  <si>
    <t>Quận 3</t>
  </si>
  <si>
    <t>levannulv8812@gmail.com</t>
  </si>
  <si>
    <t>Đinh Thị Ngọc Hà</t>
  </si>
  <si>
    <t>5408773c310a1a9b8131e282e94a4b60</t>
  </si>
  <si>
    <t>CÔNG TY CỔ PHẦN NITODA</t>
  </si>
  <si>
    <t>Số nhà 33, Tổ 22, Phố Minh Khai - Phường Minh Khai - Quận Hai Bà Trưng - Hà Nội - Việt Nam</t>
  </si>
  <si>
    <t>Quận Hai Bà Trưng</t>
  </si>
  <si>
    <t>Nguyễn Đức Trọng</t>
  </si>
  <si>
    <t>Ca2-eI1.000</t>
  </si>
  <si>
    <t>Số 276 Phố Yên Duyên, phường Yên Sở, quận Hoàng Mai, Hà Nội - Việt Nam</t>
  </si>
  <si>
    <t>Chị huyền - 0904150062</t>
  </si>
  <si>
    <t>24/04/2022</t>
  </si>
  <si>
    <t xml:space="preserve"> CÔNG TY TNHH PHÁT TRIỂN THIẾT BỊ MÁY CÔNG NGHIỆP VIỆT NAM</t>
  </si>
  <si>
    <t>0108676675</t>
  </si>
  <si>
    <t>Thôn Vân Lũng - Xã An Khánh - Huyện Hoài Đức – Thành Phố Hà Nội – Việt Nam</t>
  </si>
  <si>
    <t>Triệu Mai Hai</t>
  </si>
  <si>
    <t>HS cứng</t>
  </si>
  <si>
    <t>CÔNG TY TNHH DỊCH VỤ THƯƠNG MẠI VÀ PHÁT TRIỂN AN KHÁNH</t>
  </si>
  <si>
    <t>0108676770</t>
  </si>
  <si>
    <t>Thôn Vân Lũng - Xã An Khánh - Huyện Hoài Đức - Hà Nội - Việt Nam</t>
  </si>
  <si>
    <t xml:space="preserve">Đoàn Mạnh Trường                                    </t>
  </si>
  <si>
    <t>Thiếu CMND</t>
  </si>
  <si>
    <t>Thiếu CMND + HĐ</t>
  </si>
  <si>
    <t>CÔNG TY TNHH THIẾT KẾ XÂY DỰNG PHÁT TRIỂN HÀ THÀNH</t>
  </si>
  <si>
    <t>0108676682</t>
  </si>
  <si>
    <t>Hoàng Anh Tú</t>
  </si>
  <si>
    <t>CÔNG TY TNHH ĐẦU TƯ VÀ THƯƠNG MẠI PTU</t>
  </si>
  <si>
    <t>0107831208</t>
  </si>
  <si>
    <t>Số 85, đường Vườn Cam - Phường Phú Đô - Quận Nam Từ Liêm - Hà Nội - Việt Nam</t>
  </si>
  <si>
    <t xml:space="preserve">Đỗ Viết Linh                                        </t>
  </si>
  <si>
    <t>Thiếu HĐ+DKSD</t>
  </si>
  <si>
    <t>CÔNG TY TNHH SẢN XUẤT VÀ THƯƠNG MẠI VIỆT NAM PHÁT TRIỂN</t>
  </si>
  <si>
    <t>0106129941</t>
  </si>
  <si>
    <t>Ninh Bình</t>
  </si>
  <si>
    <t>Lô 7 Khu công nghiệp Phúc Sơn - Xã Ninh Phúc - Thành phố Ninh Bình - Ninh Bình - Việt Nam</t>
  </si>
  <si>
    <t>Hoàn Ninh Bình</t>
  </si>
  <si>
    <t>Lã Đức Dương</t>
  </si>
  <si>
    <t>5408377889a8532ddef4786ad2e1a00f</t>
  </si>
  <si>
    <t>ký đt</t>
  </si>
  <si>
    <t>Chúc - Chị Dung SG</t>
  </si>
  <si>
    <t>CHI NHÁNH CÔNG TY CỔ PHẦN ALPHA 94</t>
  </si>
  <si>
    <t>2801232334-001</t>
  </si>
  <si>
    <t>Quận 12</t>
  </si>
  <si>
    <t>Số 34 Đường TL 29 - phường Thạnh Lộc - Quận 12 - TP Hồ Chí Minh - Việt Nam</t>
  </si>
  <si>
    <t>Chị Dung 0931371838</t>
  </si>
  <si>
    <t>kimdung3959@gmail.com</t>
  </si>
  <si>
    <t>Lê Duy Hưng</t>
  </si>
  <si>
    <t>54081fb5dc6255b5df2597904da6d87a</t>
  </si>
  <si>
    <t>Chuyển tiền Nacencomm 6/5</t>
  </si>
  <si>
    <t>Chuyển tiền Nacencomm</t>
  </si>
  <si>
    <t>CÔNG TY TNHH NỘI THẤT VÀ XÂY DỰNG GIA VŨ</t>
  </si>
  <si>
    <t>Vân Anh</t>
  </si>
  <si>
    <t>0105813588</t>
  </si>
  <si>
    <t>Số 134 phố Hoa Bằng - Phường Yên Hoà - Quận Cầu Giấy - Hà Nội – Việt Nam</t>
  </si>
  <si>
    <t>Vân Anh - 0975.819.073</t>
  </si>
  <si>
    <t>vananh1911@gmail.com</t>
  </si>
  <si>
    <t>Vũ Thị Lệ</t>
  </si>
  <si>
    <t>HSĐT</t>
  </si>
  <si>
    <t>CÔNG TY CỔ PHẦN THƯƠNG MẠI DỊCH VỤ VÀ CÔNG NGHỆ LHC</t>
  </si>
  <si>
    <t>Hằng</t>
  </si>
  <si>
    <t>0107477349</t>
  </si>
  <si>
    <t>Số 26 ngõ 2 đường Nguyễn Chánh - Phường Trung Hoà - Quận Cầu Giấy - Hà Nội - Việt Nam</t>
  </si>
  <si>
    <t>Hằng - 0988844491</t>
  </si>
  <si>
    <t>Ketoankiemtoan911@gmail.com</t>
  </si>
  <si>
    <t xml:space="preserve">Nguyễn Tấn Lượng                            </t>
  </si>
  <si>
    <t>54 01 01 01 0b 7c c2 33 7e aa 8c df cd 24 ac 25</t>
  </si>
  <si>
    <t>CK Long 480K</t>
  </si>
  <si>
    <t>CÔNG TY TNHH TÂM DUNG</t>
  </si>
  <si>
    <t>0101040746</t>
  </si>
  <si>
    <t>Số 4, ngõ 350, đường Ngô Gia Tự - Phường Đức Giang - Quận Long Biên - Hà Nội - Việt Nam</t>
  </si>
  <si>
    <t>C.Trang 0963288099</t>
  </si>
  <si>
    <t>Trang.thuy.0922@gmail.com</t>
  </si>
  <si>
    <t>Hoàng Đình Tâm</t>
  </si>
  <si>
    <t>HSDT</t>
  </si>
  <si>
    <t>CK Long 825k</t>
  </si>
  <si>
    <t>TOA CORPORATION</t>
  </si>
  <si>
    <t>0304265551</t>
  </si>
  <si>
    <t>Lầu 2, Tòa nhà VIPD, 04 Nguyễn Thị Minh Khai - Phường Đa Kao - Quận 1 - TP Hồ Chí Minh - Việt Nam</t>
  </si>
  <si>
    <t>Mai Anh - 0983074024
028-38201722</t>
  </si>
  <si>
    <t>anh_nguyenmai@toa-const.vn</t>
  </si>
  <si>
    <t>CK 800K Nacecomm</t>
  </si>
  <si>
    <t>Hoài Đức</t>
  </si>
  <si>
    <t>Chudiemhuong@gmail.com</t>
  </si>
  <si>
    <t xml:space="preserve">Đoàn Mạnh Trường                             </t>
  </si>
  <si>
    <t>54 02 bc 5c ac ce 66 9c 20 15 00 00 00 03 9d 9e</t>
  </si>
  <si>
    <t>5402bc5cacce669c2015000000039d97</t>
  </si>
  <si>
    <t>CÔNG TY TNHH PHÁT TRIỂN THIẾT BỊ MÁY CÔNG NGHIỆP VIỆT NAM</t>
  </si>
  <si>
    <t xml:space="preserve"> 0108676675</t>
  </si>
  <si>
    <t>5402bc5cacce669c2015000000039d9d</t>
  </si>
  <si>
    <t>CK Nacencomm 110.000</t>
  </si>
  <si>
    <t>CK 925K Nacencomm</t>
  </si>
  <si>
    <t>CK 1827K Nacencomm</t>
  </si>
  <si>
    <t>CK 2907300 Nacencomm</t>
  </si>
  <si>
    <t>CK 900K Nacencomm</t>
  </si>
  <si>
    <t>14/05/2019</t>
  </si>
  <si>
    <t>Công ty TNHH Red Arrow Việt Nam</t>
  </si>
  <si>
    <t>0106865437</t>
  </si>
  <si>
    <t>Tầng 4, Lô 46 khu liền kề Premier, đường Tôn Thất Thuyết - Phường Dịch Vọng Hậu - Quận Cầu Giấy - Hà Nội – Việt Nam</t>
  </si>
  <si>
    <t>Lụa - 0963013006</t>
  </si>
  <si>
    <t>oanhpt@hongtien.vn</t>
  </si>
  <si>
    <t>Nguyễn Trọng Phương</t>
  </si>
  <si>
    <t>14/05/2022</t>
  </si>
  <si>
    <t>CK khách 207,300</t>
  </si>
  <si>
    <t>15/05/2019</t>
  </si>
  <si>
    <t>CÔNG TY TNHH XÂY DỰNG VÀ THƯƠNG MẠI TƯỜNG DUY</t>
  </si>
  <si>
    <t>0107676626</t>
  </si>
  <si>
    <t>Số 20, ngõ 52 Triều Khúc - Phường Thanh Xuân Nam - Quận Thanh Xuân - Hà Nội - Việt Nam.</t>
  </si>
  <si>
    <t>Chị Hằng 0977937008</t>
  </si>
  <si>
    <t>thuhang019@gmail.com</t>
  </si>
  <si>
    <t>Đỗ Duy Quân</t>
  </si>
  <si>
    <t>16/05/2019</t>
  </si>
  <si>
    <t>0105827372</t>
  </si>
  <si>
    <t>Km 24, quốc lộ 6, Xã Tiên Phương, Huyện Chương Mỹ, Thành Phố Hà Nội, Việt Nam.</t>
  </si>
  <si>
    <t>Luân - 0988204583</t>
  </si>
  <si>
    <t>ctysuoingoc2015@gmail.com</t>
  </si>
  <si>
    <t>Hoàng Tuấn Anh</t>
  </si>
  <si>
    <t>15/05/2022</t>
  </si>
  <si>
    <t>CK khach 107300</t>
  </si>
  <si>
    <t>CÔNG TY TNHH PHÚC TRẠCH</t>
  </si>
  <si>
    <t>3603289595</t>
  </si>
  <si>
    <t>Đồng Nai</t>
  </si>
  <si>
    <t>Khu Công nghiệp dệt may Nhơn Trạch - Xã Hiệp Phước - Huyện Nhơn Trạch - Đồng Nai- Việt Nam</t>
  </si>
  <si>
    <t>0949339186 Chị Hồng</t>
  </si>
  <si>
    <t>phuctrachss@gmail.com</t>
  </si>
  <si>
    <t>Bà Hồ Thị Hồng</t>
  </si>
  <si>
    <t>54 02 bc 5c ac ce 66 9c 20 15 00 00 00 02 3a f0</t>
  </si>
  <si>
    <t>HS ĐT</t>
  </si>
  <si>
    <t>17/05/2019</t>
  </si>
  <si>
    <t>CÔNG TY TNHH PHỐ HÀNG PHỞ</t>
  </si>
  <si>
    <t>Chị Dung Sài Gòn</t>
  </si>
  <si>
    <t>0315556778</t>
  </si>
  <si>
    <t>20 Đường số 7 Khu Z756 (Hà Đô Centrosa Garden) - Phường 12 - Quận 10 - TP Hồ Chí Minh - Việt Nam</t>
  </si>
  <si>
    <t>Chị Dung Sài Gòn 0931371838</t>
  </si>
  <si>
    <t xml:space="preserve">Kim Thành Trung                        </t>
  </si>
  <si>
    <t>17/05/2022</t>
  </si>
  <si>
    <t>18/05/2019</t>
  </si>
  <si>
    <t>CÔNG TY TNHH DỊCH VỤ VÀ THƯƠNG MẠI NAM CƯỜNG</t>
  </si>
  <si>
    <t>0107440211</t>
  </si>
  <si>
    <t>Tầng 7 tòa nhà Sannam, số 78, Phố Duy Tân - Phường Dịch Vọng Hậu - Quận Cầu Giấy - Hà Nội</t>
  </si>
  <si>
    <t>Bùi Văn Ngọ</t>
  </si>
  <si>
    <t>18/05/2020</t>
  </si>
  <si>
    <t>Nợ hợp đồng + đăng ký</t>
  </si>
  <si>
    <t>HS Cứng</t>
  </si>
  <si>
    <t>Đã chuyển khoản Nacencomm 1,1tr</t>
  </si>
  <si>
    <t xml:space="preserve">CK Nacencomm </t>
  </si>
  <si>
    <t>20/05/2019</t>
  </si>
  <si>
    <t>CÔNG TY CỔ PHẦN THỦY ĐIỆN THÁI AN</t>
  </si>
  <si>
    <t>Chị Lê</t>
  </si>
  <si>
    <t>4700138314</t>
  </si>
  <si>
    <t>Tòa nhà A2, Khu Hà Trung - Phường Quang Trung - TP Hà Giang - Hà Giang - Việt Nam</t>
  </si>
  <si>
    <t>Nguyễn Thị Bích Thu - 0983020036</t>
  </si>
  <si>
    <t>khanhthu101975@gmail.com</t>
  </si>
  <si>
    <t xml:space="preserve">Nguyễn Quang Đạo                </t>
  </si>
  <si>
    <t>20/05/2022</t>
  </si>
  <si>
    <t>CÔNG TY TRÁCH NHIỆM HỮU HẠN VẬN TẢI ĐẠI VIỆT</t>
  </si>
  <si>
    <t>0101115938-001</t>
  </si>
  <si>
    <t>Tầng 3, tòa nhà A2, khu Hà Trung - Phường Quang Trung - TP Hà Giang - Hà Giang - Việt Nam</t>
  </si>
  <si>
    <t>TT tiền mặt Nacencomm 2022K</t>
  </si>
  <si>
    <t>22/05/2019</t>
  </si>
  <si>
    <t>CÔNG TY TNHH SAMSUNG C&amp;T CORPORATION VIỆT NAM</t>
  </si>
  <si>
    <t>2300781132</t>
  </si>
  <si>
    <t>Tầng 3, Trung tâm điều hành Khu công nghiệp Yên Phong - Xã Long Châu - Huyện Yên Phong - Bắc Ninh – Việt Nam</t>
  </si>
  <si>
    <t>Huyền 0961582940</t>
  </si>
  <si>
    <t>th02.phan@samsung.com</t>
  </si>
  <si>
    <t xml:space="preserve">Boo Suk Hyun                       </t>
  </si>
  <si>
    <t>22/05/2022</t>
  </si>
  <si>
    <t>CK 300K cho khách</t>
  </si>
  <si>
    <t>23/05/2019</t>
  </si>
  <si>
    <t>CÔNG TY TNHH THIẾT BỊ CÔNG NGHỆ VÀ THANG MÁY LUY LÂU</t>
  </si>
  <si>
    <t>CTV Quỳnh</t>
  </si>
  <si>
    <t>0108665225</t>
  </si>
  <si>
    <t>Khu Số 42 ngõ 139 Phố Hoa Lâm - Phường Việt Hưng - Quận Long Biên - Hà Nội - Việt Nam</t>
  </si>
  <si>
    <t>0916005988</t>
  </si>
  <si>
    <t>Vuquynh.120194@gmail.com</t>
  </si>
  <si>
    <t>Nguyễn Văn Vững</t>
  </si>
  <si>
    <t>‎54 01 01 09 93 c5 9b 11 a5 06 bb fd ee cd eb e5</t>
  </si>
  <si>
    <t>TT đủ Nacencomm</t>
  </si>
  <si>
    <t>Chị Tú Thuế Đống Đa</t>
  </si>
  <si>
    <t>CH Chúc 1850K</t>
  </si>
  <si>
    <t>TT Nacencomm 2,800,000</t>
  </si>
  <si>
    <t>TT Nacencomm 1,277,100</t>
  </si>
  <si>
    <t>CK Nacencomm 2700K</t>
  </si>
  <si>
    <t>28/05/2019</t>
  </si>
  <si>
    <t>Công ty CP Tân Việt</t>
  </si>
  <si>
    <t>2300565484</t>
  </si>
  <si>
    <t>Số 452, Lý Thường Kiệt - Phường Thị Cầu, TP Bắc Ninh, bắc Ninh, VN</t>
  </si>
  <si>
    <t>Ctytanviet.jsc@gmail.com</t>
  </si>
  <si>
    <t>Lê Huy Cường</t>
  </si>
  <si>
    <t>28/05/2022</t>
  </si>
  <si>
    <t>CÔNG TY CỔ PHẦN ENTECO VIỆT NAM</t>
  </si>
  <si>
    <t>0105558271</t>
  </si>
  <si>
    <t>Số nhà 20, phố Phạm Hồng Thái - P. Nguyễn Trung Trực - Quận Ba Đình - Hà Nội - Việt Nam</t>
  </si>
  <si>
    <t>Chị Lý - 0972492056</t>
  </si>
  <si>
    <t>Lynguyen.etc@gmail.com</t>
  </si>
  <si>
    <t xml:space="preserve">Đỗ Thị Thanh Hương             </t>
  </si>
  <si>
    <t>Đã CK 29073 Nacencomm</t>
  </si>
  <si>
    <t>29/05/2019</t>
  </si>
  <si>
    <t>CÔNG TY TNHH DỊCH VỤ KỸ THUẬT TRƯỜNG THÀNH AN</t>
  </si>
  <si>
    <t>Chị Thoa- Đội chị Hiền</t>
  </si>
  <si>
    <t>CK Nacecomm 2907300</t>
  </si>
  <si>
    <t>CK Long 2700K</t>
  </si>
  <si>
    <t>CK Nacencomm 647500</t>
  </si>
  <si>
    <t>27/05/2019</t>
  </si>
  <si>
    <t>CÔNG TY TNHH CƠ KHÍ VẬT TƯ CỔ LOA</t>
  </si>
  <si>
    <t>0101127362</t>
  </si>
  <si>
    <t>chị Nguyệt</t>
  </si>
  <si>
    <t>Chị Dung</t>
  </si>
  <si>
    <t>Km 9, quốc lộ 3 - Xã Cổ Loa - Huyện Đông Anh - Hà Nội – Việt Nam</t>
  </si>
  <si>
    <t>0978.415.879</t>
  </si>
  <si>
    <t>hongphuong285@gmail.com</t>
  </si>
  <si>
    <t>Nguyễn Hồng Phương</t>
  </si>
  <si>
    <t xml:space="preserve">Số 15A, ngách 158, ngõ 99 Định Công Hạ, Phường Định Công, Quận Hoàng Mai,
Thành phố Hà Nội, Việt Nam
</t>
  </si>
  <si>
    <t>0106328094</t>
  </si>
  <si>
    <t>Thoa Hoàng Mai</t>
  </si>
  <si>
    <t>Ngọc Anh: 0938819386</t>
  </si>
  <si>
    <t>ngocanh.tn202@gmail.com</t>
  </si>
  <si>
    <t>Lưu Thị Ngọc Anh</t>
  </si>
  <si>
    <t>5402bc5cacce669c2015000000035e72</t>
  </si>
  <si>
    <t>CK Nacencomm 2,907,300</t>
  </si>
  <si>
    <t>CK Nacencomm 772700</t>
  </si>
  <si>
    <t>CK Nacencomm 800K</t>
  </si>
  <si>
    <t>CÔNG TY CỔ PHẦN CÔNG NGHỆ VÀ XÂY DỰNG SÔNG HỒNG</t>
  </si>
  <si>
    <t>0102613340</t>
  </si>
  <si>
    <t>Tây Hồ</t>
  </si>
  <si>
    <t>Số 70, phố An Dương - Phường Yên Phụ - Quận Tây Hồ - Hà Nội - Việt Nam</t>
  </si>
  <si>
    <t>Chị Hải Anh: '0948636386</t>
  </si>
  <si>
    <t>ctttsonghong@gmail.com</t>
  </si>
  <si>
    <t>Nguyễn Thị Ngân</t>
  </si>
  <si>
    <t>5402bc5cacce669c2015000000030079</t>
  </si>
  <si>
    <t>CA2-eI2000</t>
  </si>
  <si>
    <t>TT Nacencomm 2tr</t>
  </si>
  <si>
    <t>Công Ty TNHH Thiết bị Công nghệ Và Thang máy Luy Lâu</t>
  </si>
  <si>
    <t>010 866 5225</t>
  </si>
  <si>
    <t>Số 42 Ngõ 139 Phố Hoa Lâm – P. Việt Hưng – Q. Long Biên – TP. Hà Nội – Việt Nam</t>
  </si>
  <si>
    <t>0916.005.988/ 0919.329.866</t>
  </si>
  <si>
    <t>luylauelevator@gmail.com</t>
  </si>
  <si>
    <t>CÔNG TY CỔ PHẦN TRUYỀN THÔNG HVL MEDIA</t>
  </si>
  <si>
    <t>0107147809</t>
  </si>
  <si>
    <t>Phòng 2, nhà 64, tập thể Bách Khoa, phố Lê Thanh Nghị - Phường Bách Khoa - Quận Hai Bà Trưng - Hà Nội - Việt Nam</t>
  </si>
  <si>
    <t>kinhteplus.vn@gmail.com</t>
  </si>
  <si>
    <t>Nguyễn Phương Loan</t>
  </si>
  <si>
    <t>CA2-e300</t>
  </si>
  <si>
    <t>14/06/2019</t>
  </si>
  <si>
    <t>CÔNG TY CỔ PHẦN ĐẦU TƯ THƯƠNG MẠI VÀ DỊCH VỤ AN TÂM 68</t>
  </si>
  <si>
    <t>Xóm Thanh Mỹ - Xã Thạch Thanh - Huyện Thạch Hà - Hà Tĩnh.</t>
  </si>
  <si>
    <t>3002131451</t>
  </si>
  <si>
    <t>Chị Giang - 0984908857</t>
  </si>
  <si>
    <t>Lê Thuần Hiền</t>
  </si>
  <si>
    <t>14/06/2022</t>
  </si>
  <si>
    <t>Nợ HS</t>
  </si>
  <si>
    <t>CK Nacencomm 1100000</t>
  </si>
  <si>
    <t>17/06/2019</t>
  </si>
  <si>
    <t>CÔNG TY CỔ PHẦN THE FITOUT</t>
  </si>
  <si>
    <t>Lầu 2 Tòa nhà An Khánh, Số 63 Phạm Ngọc Thạch - Phường 06 - Quận 3 - TP Hồ Chí Minh</t>
  </si>
  <si>
    <t>0314567512</t>
  </si>
  <si>
    <t xml:space="preserve">Kim Thành Trung                          </t>
  </si>
  <si>
    <t>54010109fec09d9a36e2c7a92746e125</t>
  </si>
  <si>
    <t>19/06/2019</t>
  </si>
  <si>
    <t>CÔNG TY TNHH CẦU TRỤC VÀ PHỤ KIỆN NANTE</t>
  </si>
  <si>
    <t>0106816655</t>
  </si>
  <si>
    <t>Số 5C, ngách 27, ngõ 337, phố Định Công - Phường Định Công - Quận Hoàng Mai - Hà Nội - Việt Nam</t>
  </si>
  <si>
    <t>Anh Hải: 0986819166</t>
  </si>
  <si>
    <t>Nante.phanhai@gmail.com</t>
  </si>
  <si>
    <t>Phan Thanh Hải</t>
  </si>
  <si>
    <t>19/06/2022</t>
  </si>
  <si>
    <t>HS đtử</t>
  </si>
  <si>
    <t>CÔNG TY CỔ PHẦN ĐẦU TƯ NNP</t>
  </si>
  <si>
    <t>0103754513</t>
  </si>
  <si>
    <t>Tầng 1, Tòa 4T1, Lô đất CT15 Khu đô thị mới Việt Hưng - Phường Giang Biên - Quận Long Biên - Hà Nội - Việt Nam</t>
  </si>
  <si>
    <t>Chị Nga: 0983612717</t>
  </si>
  <si>
    <t>vunga290681@gmail.com</t>
  </si>
  <si>
    <t xml:space="preserve">Phan Sỹ Bình           </t>
  </si>
  <si>
    <t>CK khách 500K</t>
  </si>
  <si>
    <t>CÔNG TY CỔ PHẦN Ô TÔ 5A</t>
  </si>
  <si>
    <t>0106793359</t>
  </si>
  <si>
    <t>Tổ 4 - Thị trấn Đông Anh - Huyện Đông Anh - Hà Nội - Việt Nam</t>
  </si>
  <si>
    <t>Chị Xuân: 0978513098</t>
  </si>
  <si>
    <t xml:space="preserve">Nguyễn Thị Hồng Yến        </t>
  </si>
  <si>
    <t>ketoan@khangminhauto.com.vn</t>
  </si>
  <si>
    <t>16/06/20122</t>
  </si>
  <si>
    <t>HS Đtử</t>
  </si>
  <si>
    <t>20/06/2019</t>
  </si>
  <si>
    <t>CÔNG TY CỔ PHẦN METRO TOÀN CẦU</t>
  </si>
  <si>
    <t>Lô E3, Cụm CN Đa nghề Đông Thọ - Xã Đông Thọ - Huyện Yên Phong - Bắc Ninh - Việt Nam</t>
  </si>
  <si>
    <t>2300878624</t>
  </si>
  <si>
    <t>Chị Bắc: 0348903030</t>
  </si>
  <si>
    <t>mtpetrol2015@gmail.com</t>
  </si>
  <si>
    <t xml:space="preserve">Đỗ Bá Hòe          </t>
  </si>
  <si>
    <t>21/06/2019</t>
  </si>
  <si>
    <t>TRƯỜNG CAO ĐẲNG Y TẾ HUẾ</t>
  </si>
  <si>
    <t>3300369717</t>
  </si>
  <si>
    <t>01 Nguyễn Trường Tộ - Phường Vĩnh Ninh - Thành phố Huế - Thừa Thiên - Huế - Việt Nam</t>
  </si>
  <si>
    <t>Chị Huế: 0905952669</t>
  </si>
  <si>
    <t>ntmhue@cdythue.edu.vn</t>
  </si>
  <si>
    <t xml:space="preserve">Nguyễn Văn Tuấn             </t>
  </si>
  <si>
    <t>21/01/2023</t>
  </si>
  <si>
    <t>CK Nacecomm 2907300 - ngày 21/6</t>
  </si>
  <si>
    <t>Thanh toán TK Long</t>
  </si>
  <si>
    <t>TT TK long</t>
  </si>
  <si>
    <t>CÔNG TY TNHH THỰC PHẨM DINH DƯỠNG NUTRIDIAMOND</t>
  </si>
  <si>
    <t>0108698189</t>
  </si>
  <si>
    <t>24/06/2019</t>
  </si>
  <si>
    <t>CÔNG TY TNHH THIẾT BỊ KỸ THUẬT VÀ TƯ VẤN CÔNG NGHỆ AIT</t>
  </si>
  <si>
    <t>CTV Hanh</t>
  </si>
  <si>
    <t>0108766294</t>
  </si>
  <si>
    <t>Số nhà 2B, ngách 249, ngõ 211 đường Khương Trung - Phường Khương Đình - Quận Thanh Xuân - Hà Nội - Việt Nam</t>
  </si>
  <si>
    <t xml:space="preserve">Lê Thị Ly                                        </t>
  </si>
  <si>
    <t>CÔNG TY CỔ PHẦN BẢO TOÀN VIỆT</t>
  </si>
  <si>
    <t>Hương Vietmap</t>
  </si>
  <si>
    <t>0401671326</t>
  </si>
  <si>
    <t>Hải Châu</t>
  </si>
  <si>
    <t>Số 259 Trưng Nữ Vương - Phường Hoà Thuận Đông - Quận Hải Châu - Đà Nẵng - Việt Nam</t>
  </si>
  <si>
    <t>info@baotoanviet.vn</t>
  </si>
  <si>
    <t>Nguyễn Tiến Hoàng</t>
  </si>
  <si>
    <t>Phòng 904 - Tòa nhà GELEX, Số 52 Lê Đại Hành - Phường Lê Đại Hành - Quận Hai Bà Trưng - Hà Nội - Việt Nam</t>
  </si>
  <si>
    <t>0839345688</t>
  </si>
  <si>
    <t>contact.nutridiamond@gmail.com</t>
  </si>
  <si>
    <t xml:space="preserve">Nguyễn Sỹ Thắng                   </t>
  </si>
  <si>
    <t>54 01 01 09 0e 47 7f ac 26 1f 71 0a 08 a5 cf c5</t>
  </si>
  <si>
    <t>khuyên 0986344023</t>
  </si>
  <si>
    <t>54 01 01 09 c9 d4 71 47 4e fd f0 30 e2 86 4b d9</t>
  </si>
  <si>
    <t>CÔNG TY TNHH THIẾT BỊ ĐIỆN THỦY HUYỀN</t>
  </si>
  <si>
    <t>khuyenth88@gmail.com</t>
  </si>
  <si>
    <t>0108767280</t>
  </si>
  <si>
    <t>Số 4 ngõ 105 đường An Dương Vương - Phường Phú Thượng - Quận Tây Hồ - Hà Nội – Việt Nam</t>
  </si>
  <si>
    <t>0919401819</t>
  </si>
  <si>
    <t>dienthuyhuyen7280@gmail.com</t>
  </si>
  <si>
    <t xml:space="preserve">Ngô Trọng Thủy                                    </t>
  </si>
  <si>
    <t>54 01 01 09 d8 43 dd 3f 40 1e 06 63 6e 14 d3 3d</t>
  </si>
  <si>
    <t>54 01 01 01 f8 09 81 91 0c 2d 9c 01 2a ac 12 bf</t>
  </si>
  <si>
    <t>25/06/2019</t>
  </si>
  <si>
    <t>A Hải</t>
  </si>
  <si>
    <t>Hoàn Mai</t>
  </si>
  <si>
    <t>Anh Hải 0986819166</t>
  </si>
  <si>
    <t xml:space="preserve">Phan Thanh Hải           </t>
  </si>
  <si>
    <t>54 02 bc 5c ac ce 66 9c 20 15 00 00 00 03 ae 5e</t>
  </si>
  <si>
    <t>CA2-eIFree</t>
  </si>
  <si>
    <t>Free</t>
  </si>
  <si>
    <t>free</t>
  </si>
  <si>
    <t>CÔNG TY CỔ PHẦN QUẢN LÝ DỊCH VỤ ĐÔNG NAM</t>
  </si>
  <si>
    <t>0108474051</t>
  </si>
  <si>
    <t>Tầng 5, toà nhà Tân Hồng Hà Complex số 317 Trường Chinh - Phường Khương Trung - Quận Thanh Xuân - Hà Nội</t>
  </si>
  <si>
    <t>lethuythh@gmail.com</t>
  </si>
  <si>
    <t>Lại Kim Trang</t>
  </si>
  <si>
    <t>CÔNG TY CỔ PHẦN XÂY DỰNG VÀ DỊCH VỤ KỸ THUẬT HÀ NỘI</t>
  </si>
  <si>
    <t xml:space="preserve"> 0105913462</t>
  </si>
  <si>
    <t>Số nhà 26, phố Lý Thường Kiệt - Phường Hàng Bài - Quận Hoàn Kiếm - Hà Nội</t>
  </si>
  <si>
    <t xml:space="preserve">Hoàng Mạnh Quân   </t>
  </si>
  <si>
    <t>haces.jsc@gmail.com</t>
  </si>
  <si>
    <t>Anh Quân: 0912584113</t>
  </si>
  <si>
    <t>25/06/2020</t>
  </si>
  <si>
    <t>CÔNG TY TNHH THIẾT BỊ CƠ KHÍ HẢI CƯỜNG</t>
  </si>
  <si>
    <t>A  Cường: 0903256635
chị Hiền kế toán:  0904957999</t>
  </si>
  <si>
    <t>tranquoccuong2000@gmail.com</t>
  </si>
  <si>
    <t>Số 37 ngõ 46 phố Khương Thượng, phường Ngã Tư Sở - Phường Ngã Tư Sở - Quận Đống đa - Hà Nội – Việt Nam</t>
  </si>
  <si>
    <t>0101467400</t>
  </si>
  <si>
    <t>Trần Quốc Cường</t>
  </si>
  <si>
    <t>25/6/2022</t>
  </si>
  <si>
    <t>27/06/2019</t>
  </si>
  <si>
    <t>CÔNG TY TNHH MỘT THÀNH VIÊN ĐẦU TƯ THANH LONG</t>
  </si>
  <si>
    <t>0106843289</t>
  </si>
  <si>
    <t>Tầng 1, tòa 4T1, lô đất CT15, khu đô thị mới Việt Hưng - Phường Giang Biên - Quận Long Biên - Hà Nội - Việt Nam</t>
  </si>
  <si>
    <t xml:space="preserve">Hoàng Vân Hà                        </t>
  </si>
  <si>
    <t>27/06/2022</t>
  </si>
  <si>
    <t>CÔNG TY CỔ PHẦN ĐẦU TƯ PHÁT TRIỂN TP.LAND</t>
  </si>
  <si>
    <t>0108798289</t>
  </si>
  <si>
    <t>Số 655 đường Giải Phóng - Phường Giáp Bát - Quận Hoàng Mai - Hà Nội - Việt Nam</t>
  </si>
  <si>
    <t xml:space="preserve">Lê Xuân Thuận                                 </t>
  </si>
  <si>
    <t>54 01 01 10 d8 9f c2 e0 e5 c5 0b 87 e7 b5 ba c9</t>
  </si>
  <si>
    <t>CÔNG TY CỔ PHẦN FIST</t>
  </si>
  <si>
    <t>Nam Từ Liêm</t>
  </si>
  <si>
    <t>3700313652</t>
  </si>
  <si>
    <t>Số 26 Bis/1 khu phố Trung - Phường Vĩnh Phú - TX Thuận An - Bình Dương - Việt Nam</t>
  </si>
  <si>
    <t>pvquyen@gmail.com</t>
  </si>
  <si>
    <t xml:space="preserve">Phạm Văn Quyền               </t>
  </si>
  <si>
    <t>CÔNG TY TNHH DƯỢC PHẨM FITOPHARMA</t>
  </si>
  <si>
    <t>Chị Thụy: 0937278163</t>
  </si>
  <si>
    <t>Thuy@fito.vn</t>
  </si>
  <si>
    <t xml:space="preserve">Ngô Thị Thu Hà                      </t>
  </si>
  <si>
    <t>Chiết khấu khách 500K</t>
  </si>
  <si>
    <t>0107307869</t>
  </si>
  <si>
    <t>CÔNG TY CỔ PHẦN DƯỢC PHẨM MỘC VÂN SƠN</t>
  </si>
  <si>
    <t>Ô đất số 9, lô số TT6, khu tái định cư số 7.3 và 8.1 - Phường Mỹ Đình 2 - Quận Nam Từ Liêm - Hà Nội - Việt Nam</t>
  </si>
  <si>
    <t>Nguyenhongthuy2000@gmail.com</t>
  </si>
  <si>
    <t>Chị Thủy: 0976823826</t>
  </si>
  <si>
    <t>Chị Thúy</t>
  </si>
  <si>
    <t>0106812594</t>
  </si>
  <si>
    <t>Anh Quyền: 0947909369</t>
  </si>
  <si>
    <t>54 01 01 09 86 9e e0 91 51 f5 49 70 75 c6 fa c3</t>
  </si>
  <si>
    <t>CK Nacencomm 1,600,000</t>
  </si>
  <si>
    <t>CÔNG TY CỔ PHẦN PHÁT TRIỂN ĐẦU TƯ THƯƠNG MẠI VÀ XÂY DỰNG LŨNG LÔ</t>
  </si>
  <si>
    <t>0108801809</t>
  </si>
  <si>
    <t>Thôn Yên Lũng - Xã An Khánh - Huyện Hoài Đức - Hà Nội - Việt Nam</t>
  </si>
  <si>
    <t>Nguyễn Hữu Đoan</t>
  </si>
  <si>
    <t>‎54 02 bc 5c ac ce 66 9c 20 15 00 00 00 03 b4 11</t>
  </si>
  <si>
    <t>CK Nacencomm 2400K</t>
  </si>
  <si>
    <t>CÔNG TY CP XNK THƯƠNG MẠI HOÀNG ANH</t>
  </si>
  <si>
    <t>Hanh CTV</t>
  </si>
  <si>
    <t>0108805539</t>
  </si>
  <si>
    <t>Số 182 Xuân Diệu - Phường Quảng An - Quận Tây Hồ - Hà Nội - Việt Nam</t>
  </si>
  <si>
    <t>0987497999</t>
  </si>
  <si>
    <t xml:space="preserve">Phạm Hùng Cường                                 </t>
  </si>
  <si>
    <t>Chị Quên Ấn chỉ Đống đa</t>
  </si>
  <si>
    <t>CÔNG TY TNHH KHÍ ĐỐT HOÀNG ANH</t>
  </si>
  <si>
    <t>CTV Giang</t>
  </si>
  <si>
    <t>0108222590</t>
  </si>
  <si>
    <t>Số 9, Ngõ 371 Đê La Thành - Phường ô Chợ Dừa - Quận Đống đa - Hà Nội - Việt Nam</t>
  </si>
  <si>
    <t>Giang</t>
  </si>
  <si>
    <t>banggiangns@gmail.com</t>
  </si>
  <si>
    <t xml:space="preserve">Hoàng Thị Dung </t>
  </si>
  <si>
    <t>54010109492da97bd3c62a2df522a99e</t>
  </si>
  <si>
    <t>CÔNG TY CỔ PHẦN THẺ VÉ THÔNG MINH VIỆT NAM</t>
  </si>
  <si>
    <t>0108806814</t>
  </si>
  <si>
    <t>Chị Ly: 0969553466</t>
  </si>
  <si>
    <t xml:space="preserve">lylt.aitcom@gmail.com </t>
  </si>
  <si>
    <t>Lê Thị Ly</t>
  </si>
  <si>
    <t>Chuyển khoản Chúc 1600K</t>
  </si>
  <si>
    <t>Tiền mặt cho Long</t>
  </si>
  <si>
    <t>2300125331</t>
  </si>
  <si>
    <t>Số 158 nguyễn văn cừ - Phường Ninh Xá - Thành phố Bắc Ninh - Bắc Ninh - Việt Nam</t>
  </si>
  <si>
    <t>Chị Nhung 0989 140 842</t>
  </si>
  <si>
    <t>sonhabn@gmail.com</t>
  </si>
  <si>
    <t xml:space="preserve">Nguyễn Văn Ngọc                        </t>
  </si>
  <si>
    <t>CÔNG TY SƠN HÀ - (TNHH)</t>
  </si>
  <si>
    <t>dai.uct@gmail.com</t>
  </si>
  <si>
    <t>CÔNG TY CỔ PHẦN GIANG SƠN</t>
  </si>
  <si>
    <t>Tuyết Nhung</t>
  </si>
  <si>
    <t>5500217659</t>
  </si>
  <si>
    <t>Số nhà 17, Đường Trần Đăng Ninh, Tổ 11 - Phường Quyết Tâm - TP. Sơn La - Sơn La - Việt Nam</t>
  </si>
  <si>
    <t>Trang:0982552052</t>
  </si>
  <si>
    <t>trangctgtsonla@gmail.com</t>
  </si>
  <si>
    <t xml:space="preserve">Nguyễn Văn Hùng                   </t>
  </si>
  <si>
    <t>TT 1900K Long</t>
  </si>
  <si>
    <t>Chị Lê TT trực tiếp</t>
  </si>
  <si>
    <t>TT Nacencomm 925K-8/7</t>
  </si>
  <si>
    <t>CK 2400K Nacencomm</t>
  </si>
  <si>
    <t>Cục thuế Hà Nội</t>
  </si>
  <si>
    <t>CK Long</t>
  </si>
  <si>
    <t>CK Nacecncomm 800K ngày 8/7</t>
  </si>
  <si>
    <t>Hanh CK TK Long</t>
  </si>
  <si>
    <t>ck 24000k nacencomm 9/7</t>
  </si>
  <si>
    <t>Công Ty CP NEWAY MEDIA</t>
  </si>
  <si>
    <t xml:space="preserve">010 8055117 </t>
  </si>
  <si>
    <t>Tầng 3, số 35 ngách 158/1 đường Nguyễn Khánh Toàn, phường Quan Hoa, quận Cầu Giấy, thành phố Hà Nội</t>
  </si>
  <si>
    <t>Vương Thị Thùy Dương</t>
  </si>
  <si>
    <t>Tầng 2, toà nhà Trung Yên 1, khu đô thị Trung Yên - Phường Trung Hoà - Quận Cầu Giấy - Thành Phố Hà Nội - Việt Nam</t>
  </si>
  <si>
    <t>CÔNG TY CỔ PHẦN THƯƠNG MẠI DỊCH VỤ TIẾP VẬN HÀ NỘI</t>
  </si>
  <si>
    <t>CTV Trung</t>
  </si>
  <si>
    <t>0107753768</t>
  </si>
  <si>
    <t>Thường Tín</t>
  </si>
  <si>
    <t>Thôn Hà Hồi - Xã Hà Hồi - Huyện Thường Tín - Hà Nội - Việt Nam</t>
  </si>
  <si>
    <t>Phương Anh: 0945431874</t>
  </si>
  <si>
    <t xml:space="preserve">Trịnh Thị Minh Yến               </t>
  </si>
  <si>
    <t>Chị Thúy kế toán</t>
  </si>
  <si>
    <t>Chị Thúy: 0947716284</t>
  </si>
  <si>
    <t xml:space="preserve">Phạm Hùng Cường                           </t>
  </si>
  <si>
    <t>Chuyển 500k TK Nacencomm 11/7</t>
  </si>
  <si>
    <t>Đã chuyển khoản TK Long</t>
  </si>
  <si>
    <t>CK Nacencomm, Thơ báo</t>
  </si>
  <si>
    <t>16/7/2019</t>
  </si>
  <si>
    <t>CÔNG TY CỔ PHẦN CÔNG NGHỆ ADWAYS VIỆT NAM</t>
  </si>
  <si>
    <t>0105341367</t>
  </si>
  <si>
    <t>Tầng 5, toà nhà số 266 phố Đội Cấn, phường Liễu Giai, quận Ba Đình, TP.Hà Nội, Việt Nam</t>
  </si>
  <si>
    <t>Hạnh: 0978684900</t>
  </si>
  <si>
    <t>hanhlt@ai-t.vn</t>
  </si>
  <si>
    <t>LÊ ANH TUẤN</t>
  </si>
  <si>
    <t>16/07/2020</t>
  </si>
  <si>
    <t>CK Khách 177K</t>
  </si>
  <si>
    <t>CK Long 2400K</t>
  </si>
  <si>
    <t>CK Chúc</t>
  </si>
  <si>
    <t>Đã làm</t>
  </si>
  <si>
    <t>18/7/2019</t>
  </si>
  <si>
    <t>Tuyên Kế toán</t>
  </si>
  <si>
    <t xml:space="preserve">Số Nhà L8 Tổ Dân Phố 6 Phường Vạn Phúc Quận Hà Đông TP Hà Nội  </t>
  </si>
  <si>
    <t>Thảo: 02422036888</t>
  </si>
  <si>
    <t>Thietbiyteanphat@gmail.com</t>
  </si>
  <si>
    <t>18/7/2022</t>
  </si>
  <si>
    <t>TT Nacencomm 925K-22/7</t>
  </si>
  <si>
    <t>CK Nacencomm 1277K</t>
  </si>
  <si>
    <t>23/7/2019</t>
  </si>
  <si>
    <t>CÔNG TY TNHH QUỐC TẾ NAM KHÁNH</t>
  </si>
  <si>
    <t>0106818469</t>
  </si>
  <si>
    <t>Số 306 Nguyễn Huy Tưởng - Phường Thanh Xuân Trung - Quận Thanh Xuân - Hà Nội.</t>
  </si>
  <si>
    <t>chị Hương</t>
  </si>
  <si>
    <t>Nguyễn Ngọc Linh</t>
  </si>
  <si>
    <t>22/7/2019</t>
  </si>
  <si>
    <t>CÔNG TY TNHH NĂNG LƯỢNG XANH ECO SEIDO</t>
  </si>
  <si>
    <t xml:space="preserve"> 3401120148</t>
  </si>
  <si>
    <t>Phú Điền - Xã Phú Lạc - Huyện Tuy Phong - Bình Thuận.</t>
  </si>
  <si>
    <t>Nguyễn Quang Đạo</t>
  </si>
  <si>
    <t>0106434705</t>
  </si>
  <si>
    <t>CÔNG TY CỔ PHẦN AN VINH HÀ NỘI</t>
  </si>
  <si>
    <t>Nhà A58 khu đấu giá QSD đất Vạn Phúc - Phường Vạn Phúc - Quận Hà Đông - Hà Nội - Việt Nam</t>
  </si>
  <si>
    <t>Chị Vóc: 0976832344</t>
  </si>
  <si>
    <t>thuongmaianvinh@gmail.com</t>
  </si>
  <si>
    <t xml:space="preserve">Lê Văn Tú                                      </t>
  </si>
  <si>
    <t>24/7/2021</t>
  </si>
  <si>
    <t>CK khách 200K</t>
  </si>
  <si>
    <t>Nợ ĐKKD + CMND</t>
  </si>
  <si>
    <t>CÔNG TY CỔ PHẦN XÂY DỰNG THƯƠNG MẠI VÀ DỊCH VỤ MINH VŨ</t>
  </si>
  <si>
    <t>0108835822</t>
  </si>
  <si>
    <t>Thôn An Thọ - Xã An Khánh - Huyện Hoài Đức - Hà Nội - Việt Nam</t>
  </si>
  <si>
    <t xml:space="preserve">Nguyễn Văn Giáp                        </t>
  </si>
  <si>
    <t>25/7/2022</t>
  </si>
  <si>
    <t>24/7/2019</t>
  </si>
  <si>
    <t>3401120148</t>
  </si>
  <si>
    <t>23/07/2019</t>
  </si>
  <si>
    <t>24/07/2019</t>
  </si>
  <si>
    <t>25/07/2019</t>
  </si>
  <si>
    <t>CÔNG TY TNHH PHÁT TRIỂN THƯƠNG MẠI XÂY DỰNG HÙNG THẮNG</t>
  </si>
  <si>
    <t>0201954648</t>
  </si>
  <si>
    <t>Số 12/5 Ngõ 72 Lạch Tray - Phường Lạch Tray - Quận Ngô Quyền - Hải Phòng - Việt Nam</t>
  </si>
  <si>
    <t xml:space="preserve">Vũ Thị Kim Anh                        </t>
  </si>
  <si>
    <t>25/7/2019</t>
  </si>
  <si>
    <t>26/7/2019</t>
  </si>
  <si>
    <t>CÔNG TY CỔ PHẦN ĐẦU TƯ XÂY DỰNG VÀ THƯƠNG MẠI X2</t>
  </si>
  <si>
    <t>Chị Phương thuế Thường Tín</t>
  </si>
  <si>
    <t>0107527046</t>
  </si>
  <si>
    <t>Thôn Tử Dương - Xã Tô Hiệu - Huyện Thường Tín - Hà Nội – Việt Nam</t>
  </si>
  <si>
    <t>Chị My: 0903201477</t>
  </si>
  <si>
    <t xml:space="preserve">Nguyễn Văn Giáp                  </t>
  </si>
  <si>
    <t>Đã thanh toán Nacencomm 17/7</t>
  </si>
  <si>
    <t>29/07/2019</t>
  </si>
  <si>
    <t>TRUNG TÂM HỖ TRỢ VÀ PHÁT TRIỂN THIẾU NHI VIỆT NAM</t>
  </si>
  <si>
    <t>Số 64 phố Bà Triệu – Phường Hàng Bài – Quận Hoàn Kiếm - Hà Nội - Việt Nam</t>
  </si>
  <si>
    <t>0105915195</t>
  </si>
  <si>
    <t>Chị Thêu:0981235335</t>
  </si>
  <si>
    <t>Theutranvcsdc@gmail.com</t>
  </si>
  <si>
    <t xml:space="preserve">Hoàng Thị Tú Anh                                        </t>
  </si>
  <si>
    <t>29/7/2020</t>
  </si>
  <si>
    <t>CÔNG TY CP TẬP ĐOÀN LAGI</t>
  </si>
  <si>
    <t>3401188636</t>
  </si>
  <si>
    <t>Đường Hùng Vương - Xã Tân Bình - Thị xã La Gi - Bình Thuận – ViỆT Nam</t>
  </si>
  <si>
    <t>Quân - Chúc Hội thuế</t>
  </si>
  <si>
    <t>Quân: 0834115678</t>
  </si>
  <si>
    <t>Hieu.d.n@lagigroup.vn</t>
  </si>
  <si>
    <t>Đoàn Ngọc Hiếu</t>
  </si>
  <si>
    <t>29/7/2019</t>
  </si>
  <si>
    <t>CÔNG TY CỔ PHẦN ĐIỆN MÁY NAM AN</t>
  </si>
  <si>
    <t>0105867216</t>
  </si>
  <si>
    <t>Số 11, ngách 128C/26 Đại La - Phường Đồng Tâm - Quận Hai Bà Trưng - Hà Nội  - Việt Nam</t>
  </si>
  <si>
    <t>Chị Thủy: 0969172572</t>
  </si>
  <si>
    <t>thuyhoangle@namanel.com</t>
  </si>
  <si>
    <t xml:space="preserve">Cao Việt Dương                                    </t>
  </si>
  <si>
    <t>29/07/2022</t>
  </si>
  <si>
    <t>CÔNG TY TNHH ĐẦU TƯ SX VÀ TM DỊCH VỤ T&amp;T</t>
  </si>
  <si>
    <t>2300891720</t>
  </si>
  <si>
    <t>(NR ông Nguyễn Khắc Thao) Đường Võ Cường 113, Khu Khả Lễ - Phường Võ Cường - Thành phố Bắc Ninh – Tỉnh Bắc Ninh - Việt Nam</t>
  </si>
  <si>
    <t>Chị Kiên: 0344850478</t>
  </si>
  <si>
    <t>tthanoicompany@gmail.com</t>
  </si>
  <si>
    <t xml:space="preserve">Nguyễn Khắc Thao                       </t>
  </si>
  <si>
    <t>CÔNG TY TNHH THIẾT BỊ KHOA HỌC HÀ NỘI</t>
  </si>
  <si>
    <t>0107017327</t>
  </si>
  <si>
    <t>Số 3 ngõ 377 đường Cổ Nhuế - Phường Cổ Nhuế 2 - Quận Bắc Từ Liêm - Hà Nội - Việt Nam</t>
  </si>
  <si>
    <t>Chị Nhường: 0981791082</t>
  </si>
  <si>
    <t>ketoan.khoahochanoi@gmail.com</t>
  </si>
  <si>
    <t xml:space="preserve">Đặng Hồng Thanh                   </t>
  </si>
  <si>
    <t>TT Long 1,5tr</t>
  </si>
  <si>
    <t>30/7/2019</t>
  </si>
  <si>
    <t>CHI NHÁNH CÔNG TY TNHH MÊ KÔNG PLUS TẠI HÀ NỘI</t>
  </si>
  <si>
    <t>0309463571-003</t>
  </si>
  <si>
    <t>Số 13 Hàng Bạc - Phường Hàng Bạc - Quận Hoàn Kiếm - Hà Nội  - Việt Nam</t>
  </si>
  <si>
    <t>A Thành: 090266449</t>
  </si>
  <si>
    <t>Mekongplus.acc@gmail.com</t>
  </si>
  <si>
    <t xml:space="preserve">Lê Thị Yến Hằng                                            </t>
  </si>
  <si>
    <t>30/7/2021</t>
  </si>
  <si>
    <t>CK Nacencomm 2191200</t>
  </si>
  <si>
    <t>CÔNG TY TRÁCH NHIỆM HỮU HẠN NHỰA NGỌC KHOA</t>
  </si>
  <si>
    <t>3400918752</t>
  </si>
  <si>
    <t>Số 337 Trường Chinh, Thôn Tiến Hưng - Xã Tiến Lợi - Thành phố Phan Thiết - Bình Thuận – Việt Nam</t>
  </si>
  <si>
    <t>083 874 9978 Chị Tâm</t>
  </si>
  <si>
    <t>dong.nguyen832014@gmail.com</t>
  </si>
  <si>
    <t xml:space="preserve">Lê Trường Vũ                               </t>
  </si>
  <si>
    <t>30/7/2020</t>
  </si>
  <si>
    <t>30/07/2019</t>
  </si>
  <si>
    <t>CÔNG TY CỔ PHẦN SẢN XUẤT &amp; DỊCH VỤ THƯƠNG MẠI TRUNG ĐỨC</t>
  </si>
  <si>
    <t>0104821547</t>
  </si>
  <si>
    <t>Số 29, ngõ 310 Nguyễn Văn Cừ - Phường Bồ Đề - Quận Long Biên - Hà Nội - Việt Nam</t>
  </si>
  <si>
    <t>Chị Phượng:  0989684259</t>
  </si>
  <si>
    <t>phuongnguyenth.compt@gmail.com</t>
  </si>
  <si>
    <t xml:space="preserve">Nguyễn Anh Tuấn                          </t>
  </si>
  <si>
    <t>30/7/2022</t>
  </si>
  <si>
    <t>Hủy</t>
  </si>
  <si>
    <t>31/7/2019</t>
  </si>
  <si>
    <t>CÔNG TY TNHH THƯƠNG MẠI IN TOÀN THẮNG</t>
  </si>
  <si>
    <t>0108836840</t>
  </si>
  <si>
    <t>Số 3 Đường Nguyễn Cảnh Dị - Tổ 41 - Đại Từ - Phường Đại Kim - Quận Hoàng Mai - Hà Nội - Việt Nam</t>
  </si>
  <si>
    <t>Tú Anh: 0987891678</t>
  </si>
  <si>
    <t>Intoanthang8686@gmail.com</t>
  </si>
  <si>
    <t xml:space="preserve">Nguyễn Khắc Phương                    </t>
  </si>
  <si>
    <t>5401010923232b35291cedb242e3190a</t>
  </si>
  <si>
    <t>31/07/2019</t>
  </si>
  <si>
    <t>CÔNG TY TNHH HOKUYO PRECISION VIỆT NAM</t>
  </si>
  <si>
    <t>Lô 38-2, KCN Quang Minh, Thị trấn Quang Minh, Huyện Mê Linh, TP Hà Nội, Việt Nam</t>
  </si>
  <si>
    <t>Bình: 0389995461</t>
  </si>
  <si>
    <t xml:space="preserve">Nguyễn Hương Lan                         </t>
  </si>
  <si>
    <t>54037d44b950113e94d4af8fbd4479da</t>
  </si>
  <si>
    <t>0108841463</t>
  </si>
  <si>
    <t>CÔNG TY TNHH THƯƠNG MẠI VÀ DỊCH VỤ JACWATER VIỆT NAM</t>
  </si>
  <si>
    <t>Số 6A ngõ 172, đường Vũ Hữu, - Phường Thanh Xuân Bắc - Quận Thanh Xuân - Hà Nội – Việt Nam</t>
  </si>
  <si>
    <t>CÔNG TY TNHH CẦU ĐƯỜNG SƠN LA</t>
  </si>
  <si>
    <t>5500585363</t>
  </si>
  <si>
    <t>Sơn la</t>
  </si>
  <si>
    <t>Tổ 2 - Phường Quyết Tâm, TP. Sơn La, Tỉnh Sơn La, Việt Nam</t>
  </si>
  <si>
    <t>Chị Hà</t>
  </si>
  <si>
    <t>Lehagtsl@gmail.com</t>
  </si>
  <si>
    <t xml:space="preserve">Hà Hoàng Điệp                                </t>
  </si>
  <si>
    <t>54010109acec10fe4f06ff68b786d905</t>
  </si>
  <si>
    <t>CÔNG TY TNHH DU LỊCH &amp; VẬN TẢI KHÁNH NGỌC</t>
  </si>
  <si>
    <t>0107476338</t>
  </si>
  <si>
    <t>Chị Trinhhue -0985815917</t>
  </si>
  <si>
    <t>Khu tập thể F361 - Xã Dục Tú - Huyện Đông Anh - Hà Nội -  Việt Nam</t>
  </si>
  <si>
    <t>Đông Anh</t>
  </si>
  <si>
    <t>trinhhue82@gmail.com</t>
  </si>
  <si>
    <t xml:space="preserve">Nguyễn Văn Vịnh                   </t>
  </si>
  <si>
    <t>CA2-e2000</t>
  </si>
  <si>
    <t>CK Nacencomm 2tr9</t>
  </si>
  <si>
    <t>CHI NHÁNH XUẤT KHẨU LAO ĐỘNG VÀ HỢP TÁC QUỐC TẾ- TỔNG CÔNG TY XÂY DỰNG CÔNG TRÌNH GIAO THÔNG 8</t>
  </si>
  <si>
    <t>0100108247-019</t>
  </si>
  <si>
    <t>Km 233, Quốc lộ 1A - Phường Thanh Châu - Thành phố Phủ Lý – Tỉnh Hà Nam - Việt Nam</t>
  </si>
  <si>
    <t>0356237231 Chị Vân Anh.</t>
  </si>
  <si>
    <t>vananhvinaeduco@gmail.com</t>
  </si>
  <si>
    <t xml:space="preserve">Nguyễn Sỹ Tuấn                                   </t>
  </si>
  <si>
    <t xml:space="preserve">Gia hạn </t>
  </si>
  <si>
    <t>CÔNG TY CỔ PHẦN ĐẦU TƯ VÀ MUA BÁN NỢ THỦ ĐÔ</t>
  </si>
  <si>
    <t>0107758325</t>
  </si>
  <si>
    <t>Số 28, ngõ 51, phố Thái Thịnh - Phường Thịnh Quang - Quận Đống đa - Hà Nội – Việt Nam</t>
  </si>
  <si>
    <t>tothientrang2712@gmail.com</t>
  </si>
  <si>
    <t xml:space="preserve">Nguyễn Quỳnh Hoa                                   </t>
  </si>
  <si>
    <t>Thanh xuân</t>
  </si>
  <si>
    <t>CK Nacencomm 925K</t>
  </si>
  <si>
    <t>CK Nacencomm 2.4Tr 5/8</t>
  </si>
  <si>
    <t>CK Nacencom2907300 5/8</t>
  </si>
  <si>
    <t>CÔNG TY TNHH IN QUẢNG CÁO ĐỨC QUÂN</t>
  </si>
  <si>
    <t>0104415714</t>
  </si>
  <si>
    <t>Số nhà 15A ngõ 56 ngách 46 Ngô Sỹ Liên - Phường Văn Miếu - Quận Đống đa - Hà Nội – Việt Nam</t>
  </si>
  <si>
    <t>Chị Trang: '0986739606</t>
  </si>
  <si>
    <t>inducquan@gmail.com</t>
  </si>
  <si>
    <t xml:space="preserve">Trần Quỳnh Trang          </t>
  </si>
  <si>
    <t>5402bc5cacce669c20150000000242cb</t>
  </si>
  <si>
    <t>Đã thanh toán Nacencomm 6/8</t>
  </si>
  <si>
    <t>Sơn đã TT Nacencomm - Báo Chúc 5/8</t>
  </si>
  <si>
    <t>2500242226</t>
  </si>
  <si>
    <t>CK Nacencomm 1277100</t>
  </si>
  <si>
    <t>TT Nacencomm 1175K</t>
  </si>
  <si>
    <t>TT Nacencomm 800K</t>
  </si>
  <si>
    <t>TT Nacencomm 925K</t>
  </si>
  <si>
    <t>TT TK long 12/8</t>
  </si>
  <si>
    <t>TT Long 12/8</t>
  </si>
  <si>
    <t>CÔNG TY TNHH NỘI THẤT VÀ THƯƠNG MẠI THÀNH MINH</t>
  </si>
  <si>
    <t>Khách Đông Nam</t>
  </si>
  <si>
    <t>0103524830</t>
  </si>
  <si>
    <t>Số 8 hẻm 69 ngách 22, ngõ 124 đường âu Cơ, P.Tứ Liên - Quận Tây Hồ - Hà Nội - Việt Nam</t>
  </si>
  <si>
    <t>cong241168@gmail.com</t>
  </si>
  <si>
    <t xml:space="preserve">Nguyễn Lợi </t>
  </si>
  <si>
    <t>‎54019764162eb3073706ddcd46bc7142</t>
  </si>
  <si>
    <t>Quận 10</t>
  </si>
  <si>
    <t xml:space="preserve">kimdung3959@gmail.com </t>
  </si>
  <si>
    <t xml:space="preserve">Kim Thành Trung     </t>
  </si>
  <si>
    <t>Chị Vóc</t>
  </si>
  <si>
    <t>CK Long 500k</t>
  </si>
  <si>
    <t>CÔNG TY CỔ PHẦN THƯƠNG MẠI TIN HỌC TUẤN CƯỜNG</t>
  </si>
  <si>
    <t>0102842823</t>
  </si>
  <si>
    <t>Số 54 ngõ 408 đường Ngô Gia Tự - Phường Đức Giang - Quận Long Biên - Hà Nội.</t>
  </si>
  <si>
    <t>dothiyen1983@gmail.com</t>
  </si>
  <si>
    <t>Nguyễn Đình Cường</t>
  </si>
  <si>
    <t>13/08/2019</t>
  </si>
  <si>
    <t>CÔNG TY TNHH ĐẦU TƯ THƯƠNG MẠI VÀ BẤT ĐỘNG SẢN HÀ THÀNH</t>
  </si>
  <si>
    <t>Chị Hằng Cường</t>
  </si>
  <si>
    <t>0108433224</t>
  </si>
  <si>
    <t>Ki ốt 12, Tầng 1 - CT12A, KĐT Kim Văn Kim Lũ - Phường Đại Kim - Quận Hoàng Mai - Hà Nội.</t>
  </si>
  <si>
    <t>Chị Châm - 0904008678</t>
  </si>
  <si>
    <t xml:space="preserve"> TRƯỜNG THỂ DỤC THỂ THAO THANH THIẾU NHI QUẬN HOÀNG MAI </t>
  </si>
  <si>
    <t>Chị Hạnh Thuế</t>
  </si>
  <si>
    <t xml:space="preserve"> 0106062542</t>
  </si>
  <si>
    <t xml:space="preserve">Khu đô thị Đền Lừ - Phường Hoàng Văn Thụ - Quận Hoàng Mai - TP Hà Nội - Việt Nam </t>
  </si>
  <si>
    <t>Chị Diệp 0986554269</t>
  </si>
  <si>
    <t>CA2-e1000</t>
  </si>
  <si>
    <t>15/08/2019</t>
  </si>
  <si>
    <t>CÔNG TY TNHH HAPPY GO VIỆT NAM</t>
  </si>
  <si>
    <t>0108427767</t>
  </si>
  <si>
    <t>Số 12 ngõ 176 phố Mai Dịch, Tổ 4 - Phường Mai Dịch - Quận Cầu Giấy - Hà Nội - Việt Nam</t>
  </si>
  <si>
    <t>0963024031 - c thùy</t>
  </si>
  <si>
    <t>happygovietnam@gmail.com</t>
  </si>
  <si>
    <t xml:space="preserve">Vũ Thuý Hạnh                              </t>
  </si>
  <si>
    <t>15/08/2022</t>
  </si>
  <si>
    <t>CÔNG TY TNHH MỘT THÀNH VIÊN HH VIỆT HƯNG</t>
  </si>
  <si>
    <t>Số nhà 188, đường 18, Thôn Mao Dộc - Xã Phượng Mao - Huyện Quế Võ - Bắc Ninh - Việt Nam</t>
  </si>
  <si>
    <t>2300894111</t>
  </si>
  <si>
    <t>0964 272 654 - C Huyền</t>
  </si>
  <si>
    <t>quanda08mail@gmail.com</t>
  </si>
  <si>
    <t xml:space="preserve">Ma Thị Sự                                             </t>
  </si>
  <si>
    <t>0387442037 - Yến</t>
  </si>
  <si>
    <t>CÔNG TY TNHH ĐẦU TƯ PHÁT TRIỂN 5 SAO</t>
  </si>
  <si>
    <t>Thảo -  Chúc</t>
  </si>
  <si>
    <t>thaotran</t>
  </si>
  <si>
    <t>Số 02, ngách 41/3 đường Trần Duy Hưng - Phường Trung Hoà - Quận Cầu Giấy - Hà Nội - Việt Nam</t>
  </si>
  <si>
    <t>CA2-eI2.000</t>
  </si>
  <si>
    <t>CK Nacencomm 1600K</t>
  </si>
  <si>
    <t>16/8/2019</t>
  </si>
  <si>
    <t>CÔNG TY CỔ PHẦN VINATAKE</t>
  </si>
  <si>
    <t>Tầng 5, Khu văn phòng Tòa A, tòa nhà Imperia Garden, Số 203 - Phường Thanh Xuân Trung - Quận Thanh Xuân - Hà Nội – Việt Nam.</t>
  </si>
  <si>
    <t>Hán Văn Đại</t>
  </si>
  <si>
    <t>0200851777</t>
  </si>
  <si>
    <t>CÔNG TY CỔ PHẦN TƯ VẤN VÀ DỊCH VỤ DPMC</t>
  </si>
  <si>
    <t>16/08/2019</t>
  </si>
  <si>
    <t>Số 11/22 đường Miếu Hai Xã - Phường Dư Hàng - Quận Lê Chân - Hải Phòng - Việt Nam</t>
  </si>
  <si>
    <t xml:space="preserve"> haoktt.hp@gmail.com</t>
  </si>
  <si>
    <t>Hảo - 0934655136</t>
  </si>
  <si>
    <t>Bùi Thị Quốc Phòng</t>
  </si>
  <si>
    <t>21/08/2019</t>
  </si>
  <si>
    <t>CÔNG TY TNHH THƯƠNG MẠI CÔNG NGHỆ ATG</t>
  </si>
  <si>
    <t>0106154754</t>
  </si>
  <si>
    <t>0108135517</t>
  </si>
  <si>
    <t>Số 14 ngõ 54 Phùng Khoang - Phường Trung Văn - Quận Nam Từ Liêm - Hà Nội - Việt Nam</t>
  </si>
  <si>
    <t>Nguyễn Ngọc Tuệ</t>
  </si>
  <si>
    <t>TT Long 800K</t>
  </si>
  <si>
    <t>Hòa TT Nacencomm</t>
  </si>
  <si>
    <t>Quân - Chúc hội thuế Đống Đa</t>
  </si>
  <si>
    <t>Bình Thuận</t>
  </si>
  <si>
    <t>CA2-free</t>
  </si>
  <si>
    <t>22/08/2019</t>
  </si>
  <si>
    <t>Đã thanh toán Nacencomm</t>
  </si>
  <si>
    <t>CÔNG TY TNHH DỊCH VỤ TRUYỀN THÔNG TRUNG QUÂN MEDIA</t>
  </si>
  <si>
    <t>Chị Thuần - Chúc</t>
  </si>
  <si>
    <t>0107774831</t>
  </si>
  <si>
    <t>Tầng 2, Tòa nhà Trung Yên 1, đường Trung Yên 1, khu đô thị Trung Yên, phường Trung Hòa, Quận Cầu Giấy, TP. Hà Nội, Việt Nam</t>
  </si>
  <si>
    <t>thuanvt@hanelcom.vn</t>
  </si>
  <si>
    <t xml:space="preserve">Đào Kim Thoa             </t>
  </si>
  <si>
    <t>22/08/2022</t>
  </si>
  <si>
    <t>CÔNG TY CỔ PHẦN THƯƠNG MẠI VÀ DỊCH VỤ HỮU THẮNG</t>
  </si>
  <si>
    <t>VT8-LK2 Khu đô thị Xa La - Phường Phúc La - Quận Hà Đông - Hà Nội.</t>
  </si>
  <si>
    <t>0108197094</t>
  </si>
  <si>
    <t>CÔNG TY TNHH TRANSON VIỆT NAM</t>
  </si>
  <si>
    <t>5400395506</t>
  </si>
  <si>
    <t>Khu Công nghiệp Lương Sơn - Xã Hòa Sơn - Huyện Lương Sơn - Hòa Bình</t>
  </si>
  <si>
    <t xml:space="preserve">Linh-0945570285 </t>
  </si>
  <si>
    <t>tttlinhhd@gmail.com</t>
  </si>
  <si>
    <t>Kim Yong Won</t>
  </si>
  <si>
    <t>HS điện tử</t>
  </si>
  <si>
    <t>HS Cứng đã đưa Thơ</t>
  </si>
  <si>
    <t>0107646678</t>
  </si>
  <si>
    <t>23/08/2019</t>
  </si>
  <si>
    <t>CÔNG TY TNHH IN BC</t>
  </si>
  <si>
    <t>LK19-12 Khu đô thị mới Văn Khê - Phường La Khê - Quận Hà Đông - Hà Nội – Việt Nam</t>
  </si>
  <si>
    <t xml:space="preserve">Lê Văn Tý                                             </t>
  </si>
  <si>
    <t>CÔNG TY TNHH THƯƠNG MẠI DỊCH VỤ VÀ PHÁT TRIỂN ĐẠI AN</t>
  </si>
  <si>
    <t>0107705690</t>
  </si>
  <si>
    <t>Tầng 4, Tòa nhà HUD3 Tower, số 121-123 đường Tô Hiệu - Phường Nguyễn Trãi - Quận Hà Đông - Hà Nội – Việt Nam</t>
  </si>
  <si>
    <t>Chu Nữ Diễm Hương</t>
  </si>
  <si>
    <t>Tầng 2, tòa nhà Đinh Lê, số 123B Trần Đăng Ninh - Phường Dịch Vọng Hậu - Quận Cầu Giấy - Hà Nội - Việt Nam</t>
  </si>
  <si>
    <t>Nguyễn Công Ấn</t>
  </si>
  <si>
    <t>CÔNG TY TNHH TÍN MỘC</t>
  </si>
  <si>
    <t>0108864157</t>
  </si>
  <si>
    <t>Số nhà 1, ngách 117/7, phố 8/3, - Phường Quỳnh Mai - Quận Hai Bà Trưng - Hà Nội - Việt Nam</t>
  </si>
  <si>
    <t>Hiền - 0337401080</t>
  </si>
  <si>
    <t>thanhhien121197@gmail.com</t>
  </si>
  <si>
    <t xml:space="preserve">Nguyễn Tiến Dũng            </t>
  </si>
  <si>
    <t>24/08/2019</t>
  </si>
  <si>
    <t>Trần Công Ấn</t>
  </si>
  <si>
    <t>26/08/2019</t>
  </si>
  <si>
    <t>CÔNG TY CỔ PHẦN DƯỢC PHẨM SAO VIỆT HÀ NỘI</t>
  </si>
  <si>
    <t>2900588733</t>
  </si>
  <si>
    <t>Hà Đức Cường</t>
  </si>
  <si>
    <t>Nhà số 5, Lô N2A, khu tái định cư X2A - Phường Yên Sở - Quận Hoàng Mai - Hà Nội</t>
  </si>
  <si>
    <t>Chu nữ diễm hương</t>
  </si>
  <si>
    <t>26/08/2020</t>
  </si>
  <si>
    <t>27/08/2019</t>
  </si>
  <si>
    <t>CÔNG TY TNHH HỆ THỐNG CÔNG NGHIỆP VIỆT NAM</t>
  </si>
  <si>
    <t>0101375774</t>
  </si>
  <si>
    <t>Lô D8, Khu Công Nghiệp Hà Nội – Đài Tư, Số 386 đường Nguyễn Văn Linh, Phường Phúc Lợi, quận Long Biên, thành phố Hà Nội</t>
  </si>
  <si>
    <t>0904484649 Chị Hường</t>
  </si>
  <si>
    <t>Account02@indeco.com.vn</t>
  </si>
  <si>
    <t>Trần Tuấn Nam</t>
  </si>
  <si>
    <t>27/08/2022</t>
  </si>
  <si>
    <t>28/08/2019</t>
  </si>
  <si>
    <t>CÔNG TY CỔ PHẦN A SYSTEM INTERNATIONAL</t>
  </si>
  <si>
    <t>0107125058</t>
  </si>
  <si>
    <t>Xóm Mới, Thôn Ngãi Câù - Xã An Khánh - Huyện Hoài Đức - Hà Nội  - Việt Nam</t>
  </si>
  <si>
    <t>Chúc Thu tiền</t>
  </si>
  <si>
    <t xml:space="preserve">CÔNG TY CỔ PHẦN XMECAD VIỆT NAM </t>
  </si>
  <si>
    <t xml:space="preserve">0108403621 </t>
  </si>
  <si>
    <t xml:space="preserve">Số nhà 24, ngách 158/2/13 Ngọc Hà - Phường Ngọc Hà - Quận Ba Đình - Hà Nội - Việt Nam </t>
  </si>
  <si>
    <t xml:space="preserve">thuy84tt@gmail.com </t>
  </si>
  <si>
    <t xml:space="preserve">Vũ Thanh Hải           </t>
  </si>
  <si>
    <t>Tầng 2, CC Viện chiến lược khoa học Bộ Công An, Phố Nguyễn C - Phường Trung Hoà - Quận Cầu Giấy - Hà Nội- Việt Nam</t>
  </si>
  <si>
    <t>Nguyễn Đức Quý</t>
  </si>
  <si>
    <t>CHI NHÁNH CÔNG TY CỔ PHẦN MAX PRO VIỆT NAM</t>
  </si>
  <si>
    <t>0106804699-001</t>
  </si>
  <si>
    <t>Tân Bình</t>
  </si>
  <si>
    <t>Số 28/26 Văn Chung - Phường 13 - Quận Tân Bình - TP Hồ Chí Minh</t>
  </si>
  <si>
    <t>CÔNG TY CỔ PHẦN ĐẦU TƯ THƯƠNG MẠI SẢN XUẤT VÀ XÂY DỰNG THÀNH PHÁT</t>
  </si>
  <si>
    <t>0106859433</t>
  </si>
  <si>
    <t>Số 5 dãy D đường Tam Trinh – Phường Hoàng Văn Thụ - Quận Hoàng Mai - Hà Nội – Việt Nam</t>
  </si>
  <si>
    <t xml:space="preserve">Trần Thị Ngọc              </t>
  </si>
  <si>
    <t>Số 103, Tổ 31, Tập thể Bộ Nội Thương - Phường Thịnh Quang - Quận Đống đa - Hà Nội - Việt Nam</t>
  </si>
  <si>
    <t>0106982853</t>
  </si>
  <si>
    <t xml:space="preserve">Hoàng Thị Tuyết                                   </t>
  </si>
  <si>
    <t>Hòa kế toán</t>
  </si>
  <si>
    <t>CÔNG TY CỔ PHẦN TRUNG THANH</t>
  </si>
  <si>
    <t>0104131328</t>
  </si>
  <si>
    <t>Số 24 phố Hàng Lược - Phường Hàng Mã - Quận Hoàn Kiếm - Hà Nội - Việt Nam</t>
  </si>
  <si>
    <t xml:space="preserve">Nguyễn Ngọc Toàn                               </t>
  </si>
  <si>
    <t>CÔNG TY TNHH XÂY DỰNG VINH ANH PHÁT</t>
  </si>
  <si>
    <t>3603396886</t>
  </si>
  <si>
    <t>Biên Hòa</t>
  </si>
  <si>
    <t>Số 170/58/58, tổ 9, ấp Miễu - Phường Phước Tân - Thành phố Biên Hoà - Đồng Nai – Việt Nam</t>
  </si>
  <si>
    <t>Trang Anh Phúc Trạch</t>
  </si>
  <si>
    <t>thevinh.titc@gmail.com</t>
  </si>
  <si>
    <t>Nguyễn Thế Vinh</t>
  </si>
  <si>
    <t>TT Nacencomm 3100K</t>
  </si>
  <si>
    <t>TT Nacencomm3,110,800</t>
  </si>
  <si>
    <t>TT Nacencomm 1,175,000</t>
  </si>
  <si>
    <t>TT Nacencomm 1,100,000</t>
  </si>
  <si>
    <t>Tầng 2, tòa nhà DINHLE, 123B Trần Đăng Ninh - Phường Dịch Vọng - Quận Cầu Giấy - Hà Nội</t>
  </si>
  <si>
    <t>Bùi Thị Hạnh</t>
  </si>
  <si>
    <t>CÔNG TY CỔ PHẦN DỊCH VỤ ĐỊA CHÍNH NHÀ ĐẤT ANZ</t>
  </si>
  <si>
    <t>0108872944</t>
  </si>
  <si>
    <t>Số 38 đường Tây Mỗ, - Phường Tây Mỗ - Quận Nam Từ Liêm - Hà Nội - Việt Nam</t>
  </si>
  <si>
    <t>0976652816 c Vân Anh</t>
  </si>
  <si>
    <t>Vananhduong3004@gmail.com</t>
  </si>
  <si>
    <t xml:space="preserve">Trần Nam Trung                                  </t>
  </si>
  <si>
    <t>CK khách 710K</t>
  </si>
  <si>
    <t>Trường tiểu học Marie Curie II – Chi nhánh công ty cổ phần giáo dục và dịch vụ Bình Minh</t>
  </si>
  <si>
    <t>Tổ 1, Kiến Hưng, Hà Đông, Hà Nội</t>
  </si>
  <si>
    <t>Ren</t>
  </si>
  <si>
    <t>quynhren88@gmail.com</t>
  </si>
  <si>
    <t>CÔNG TY TNHH KGB VIỆT NAM</t>
  </si>
  <si>
    <t>Số 6a, ngõ 57 Láng Hạ - Phường Thành Công - Quận Ba Đình - Hà Nội – Việt Nam</t>
  </si>
  <si>
    <t>0108889828</t>
  </si>
  <si>
    <t xml:space="preserve"> banggiangns@gmail.com</t>
  </si>
  <si>
    <t>Vũ Trọng Kiên</t>
  </si>
  <si>
    <t>Ba Đình</t>
  </si>
  <si>
    <t>TT tài khoản Long</t>
  </si>
  <si>
    <t>TT Long</t>
  </si>
  <si>
    <t>CÔNG TY CỔ PHẦN CRUCIALTEC VINA</t>
  </si>
  <si>
    <t>KCN Yên Phong - Xã Long Châu - Huyện Yên Phong - Bắc Ninh – Việt Nam</t>
  </si>
  <si>
    <t>2300563014</t>
  </si>
  <si>
    <t>Chị Quỳnh: 0976521027</t>
  </si>
  <si>
    <t>nvhai@crucialtecvina.com</t>
  </si>
  <si>
    <t xml:space="preserve">Jo Yong Won                                      </t>
  </si>
  <si>
    <t>CK khacsh 500K</t>
  </si>
  <si>
    <t>CK Long 560K</t>
  </si>
  <si>
    <t>CK Long đủ</t>
  </si>
  <si>
    <t>CÔNG TY CỔ PHẦN THIẾT BỊ VÀ TRUYỀN THÔNG NGS</t>
  </si>
  <si>
    <t>Trang Bạn Chúc</t>
  </si>
  <si>
    <t>Số 8 Lý Thường Kiệt - Phường Phan Chu Trinh - Quận Hoàn Kiếm - Hà Nội - Việt Nam</t>
  </si>
  <si>
    <t xml:space="preserve">Nguyễn Vũ Hoàng An        </t>
  </si>
  <si>
    <t>CÔNG TY TNHH THƯƠNG MẠI DỊCH VỤ KỸ THUẬT KHÁNH LONG</t>
  </si>
  <si>
    <t>0305469156</t>
  </si>
  <si>
    <t>159 Nguyễn Du - Phường 7 - Quận Gò Vấp - TP Hồ Chí Minh  - Việt Nam</t>
  </si>
  <si>
    <t>0909970912 chị Lý</t>
  </si>
  <si>
    <t>xuanly.912@gmail.com</t>
  </si>
  <si>
    <t xml:space="preserve">Trần Văn Long                            </t>
  </si>
  <si>
    <t>CK Nacencomm 2407300</t>
  </si>
  <si>
    <t>CÔNG TY TNHH PHÁT TRIỂN DỊCH VỤ VÀ THƯƠNG MẠI MINH QUANG</t>
  </si>
  <si>
    <t>0106015038</t>
  </si>
  <si>
    <t>Số 399 đường Xuân Đỉnh - Phường Xuân Đỉnh - Quận Bắc Từ Liêm - Hà Nội – Việt Nam</t>
  </si>
  <si>
    <t>c Phượng: 0979131666</t>
  </si>
  <si>
    <t>Phuongmai92011@gmail.com</t>
  </si>
  <si>
    <t>Phạm Thanh Long</t>
  </si>
  <si>
    <t>CK Khách 600K</t>
  </si>
  <si>
    <t>CÔNG TY TNHH MỘT THÀNH VIÊN GIẢI PHÁP CÔNG NGHỆ TRUYỀN THÔNG VTC</t>
  </si>
  <si>
    <t>0102226239</t>
  </si>
  <si>
    <t>65 phố Lạc Trung - Phường Vĩnh Tuy - Quận Hai Bà Trưng - Hà Nội – Việt Nam</t>
  </si>
  <si>
    <t>0915 149924 Chị Trang</t>
  </si>
  <si>
    <t>Thutrang.nguyen@vtccomtech.com</t>
  </si>
  <si>
    <t>Nguyễn Ngọc Hưng</t>
  </si>
  <si>
    <t>CK Khách 500K</t>
  </si>
  <si>
    <t>TT cho hóa đơn tiếp khách</t>
  </si>
  <si>
    <t>14/09/2019</t>
  </si>
  <si>
    <t>CÔNG TY CỔ PHẦN THƯƠNG MẠI DẦU KHÍ HẢI PHONG</t>
  </si>
  <si>
    <t>Số 413 đường quốc lộ 5 cũ - Phường Hùng Vương - Quận Hồng Bàng - Hải Phòng - Việt Nam</t>
  </si>
  <si>
    <t>0200458615</t>
  </si>
  <si>
    <t>chị Thu: 0833786769</t>
  </si>
  <si>
    <t>haiphongpetro@gmail.com</t>
  </si>
  <si>
    <t xml:space="preserve">Trần Đắc Ba               </t>
  </si>
  <si>
    <t>14/09/2020</t>
  </si>
  <si>
    <t>DOANH NGHIỆP TƯ NHÂN VŨ LINH</t>
  </si>
  <si>
    <t>ĐẠI LÝ CHỊ LAN ANH</t>
  </si>
  <si>
    <t>0400528041</t>
  </si>
  <si>
    <t>CÔNG TY TNHH ĐẦU TƯ THƯƠNG MẠI VÀ DỊCH VỤ VŨ PHÚC GIANG</t>
  </si>
  <si>
    <t>0108485180</t>
  </si>
  <si>
    <t>Số nhà 22 ngõ 446 Đường Hồng Hà - Xã Hồng Hà - Huyện Đan Phượng - Hà Nội - Việt Nam</t>
  </si>
  <si>
    <t xml:space="preserve">Nguyễn Xuân Anh                           </t>
  </si>
  <si>
    <t>14/9/2020</t>
  </si>
  <si>
    <t>Đan Phượng</t>
  </si>
  <si>
    <t>16/09/2019</t>
  </si>
  <si>
    <t>CÔNG TY TNHH THIẾT BỊ Y TẾ VÀ MÔI TRƯỜNG DUY THỊNH</t>
  </si>
  <si>
    <t>0101311643</t>
  </si>
  <si>
    <t>Phòng 303, H1 Khu tập thể Tổng cục Hầu Cần - Phường Phương Mai - Quận Đống đa - Hà Nội - Việt Nam</t>
  </si>
  <si>
    <t>Quỳnh: 0364781055</t>
  </si>
  <si>
    <t>quynh.demesco@gmail.com</t>
  </si>
  <si>
    <t xml:space="preserve">Nguyễn Thúy Vân                         </t>
  </si>
  <si>
    <t>CÔNG TY TNHH KỸ THUẬT VÀ CÔNG NGHỆ THUẬN PHONG</t>
  </si>
  <si>
    <t>Số nhà 25, ngõ 158 Trương Định - Phường Trương Định - Quận Hai Bà Trưng - Hà Nội – Việt Nam</t>
  </si>
  <si>
    <t>0106061122</t>
  </si>
  <si>
    <t xml:space="preserve">Lê Tuấn Phong                         </t>
  </si>
  <si>
    <t>16/09/2022</t>
  </si>
  <si>
    <t>18/09/2019</t>
  </si>
  <si>
    <t>CÔNG TY CỔ PHẦN KIẾN TRÚC NỘI THẤT MY HOUSE HP</t>
  </si>
  <si>
    <t>Số 283 lô HK1 khu đô thị ven sông Lạch Tray - Phường Vĩnh Niệm - Quận Lê Chân - Hải Phòng – Việt Nam</t>
  </si>
  <si>
    <t>Lê Chân</t>
  </si>
  <si>
    <t xml:space="preserve">Vũ Văn Bính         </t>
  </si>
  <si>
    <t>17/09/2019</t>
  </si>
  <si>
    <t>CÔNG TY CỔ PHẦN XÂY DỰNG TARICO</t>
  </si>
  <si>
    <t xml:space="preserve"> 0401811566</t>
  </si>
  <si>
    <t>Haải Châu</t>
  </si>
  <si>
    <t>Số 89 Nguyễn Thị Minh Khai - Phường Hải Châu I - Quận Hải Châu - Đà Nẵng - Việt Nam</t>
  </si>
  <si>
    <t>vi.pttct55@gmail.com</t>
  </si>
  <si>
    <t>CÔNG TY TNHH TẬP ĐOÀN THƯƠNG MẠI DỊCH VỤ HANA VIỆT NAM</t>
  </si>
  <si>
    <t>Thôn An Thọ, - Xã An Khánh - Huyện Hoài Đức - Hà Nội - Việt Nam</t>
  </si>
  <si>
    <t>0108900246</t>
  </si>
  <si>
    <t xml:space="preserve">Trần Thị Ngọc                             </t>
  </si>
  <si>
    <t>TT Long 1377100</t>
  </si>
  <si>
    <t>TT Long 480K</t>
  </si>
  <si>
    <t>TT Long 555.000</t>
  </si>
  <si>
    <t>TT Long 480000</t>
  </si>
  <si>
    <t>TT Long 2022800</t>
  </si>
  <si>
    <t>CÔNG TY CỔ PHẦN WE24H</t>
  </si>
  <si>
    <t>0108873031</t>
  </si>
  <si>
    <t>Số 66, ngõ 204, phố Hồng Mai, - Phường Quỳnh Lôi - Quận Hai Bà Trưng - Hà Nội - Việt Nam</t>
  </si>
  <si>
    <t>Trọng: 0983339285</t>
  </si>
  <si>
    <t>trongnd.vn@gmail.com</t>
  </si>
  <si>
    <t xml:space="preserve">Nguyễn Đức Trọng                              </t>
  </si>
  <si>
    <t>18/09/2022</t>
  </si>
  <si>
    <t>HS đưa Thơ</t>
  </si>
  <si>
    <t xml:space="preserve"> CÔNG TY TRÁCH NHIỆN HỮU HẠN DIÊN VĨ XANH</t>
  </si>
  <si>
    <t>715 Điện Biên Phủ - - Quận Thanh Khê - Đà Nẵng.</t>
  </si>
  <si>
    <t>0401422256</t>
  </si>
  <si>
    <t>18/09/2020</t>
  </si>
  <si>
    <t>CÔNG TY TNHH MTV SCAR VIỆT NAM</t>
  </si>
  <si>
    <t>0108886457</t>
  </si>
  <si>
    <t>Kiot tầng 1, tòa nhà A, chung cư 789, đường Nhân Mỹ,  Phường Mỹ Đình 1, Quận Nam Từ Liêm,  Hà Nội</t>
  </si>
  <si>
    <t>Anh Thưởng: 0987111005</t>
  </si>
  <si>
    <t>CÔNG TY CỔ PHẦN TRUNG VIỆT ÂU</t>
  </si>
  <si>
    <t>0401669239</t>
  </si>
  <si>
    <t>142 Lý Thái Tông - Phường Hoà Minh - Quận Liên Chiểu - Đà Nẵng.</t>
  </si>
  <si>
    <t>Liên Chiều</t>
  </si>
  <si>
    <t>TT Nacencomm</t>
  </si>
  <si>
    <t>TT Long 2407300</t>
  </si>
  <si>
    <t>21/09/2019</t>
  </si>
  <si>
    <t>Quế Võ</t>
  </si>
  <si>
    <t>Ma Thị Sự</t>
  </si>
  <si>
    <t>54 02 bc 5c ac ce 66 9c 20 15 00 01 00 03 c3 d0</t>
  </si>
  <si>
    <t>20/09/2019</t>
  </si>
  <si>
    <t>CÔNG TY TNHH THƯƠNG MẠI DỊCH VỤ MẠNH HÙNG NGUYỄN</t>
  </si>
  <si>
    <t>CTV THU - E TRIỀU</t>
  </si>
  <si>
    <t>0315907433</t>
  </si>
  <si>
    <t>639 Nguyễn Xiển - Phường Long Thạnh Mỹ - Quận 9 - TP Hồ Chí Minh - Việt Nam</t>
  </si>
  <si>
    <t>Thu 0973488105</t>
  </si>
  <si>
    <t>nguyentmaithu18@gmail.com</t>
  </si>
  <si>
    <t xml:space="preserve">Nguyễn Tấn Hùng                                        </t>
  </si>
  <si>
    <t>20/09/2022</t>
  </si>
  <si>
    <t>24/09/2019</t>
  </si>
  <si>
    <t>CÔNG TY TNHH CÔNG NGHÊ &amp; GIẢI PHÁP HOÀNG GIA</t>
  </si>
  <si>
    <t>5701392918</t>
  </si>
  <si>
    <t>Số 266B - 268B, đường Hùng Vương - Phường Ka Long - Thành phố Móng cái - Quảng Ninh- Việt Nam</t>
  </si>
  <si>
    <t>Hưng Quảng Ninh</t>
  </si>
  <si>
    <t>nhanvithi@gmail.com</t>
  </si>
  <si>
    <t>Nguyễn Quang Hưng</t>
  </si>
  <si>
    <t>23/09/2019</t>
  </si>
  <si>
    <t>CÔNG TY CP TẬP ĐOÀN DƯỢC PHẦM IDC</t>
  </si>
  <si>
    <t>Số 26, ngách 51, ngõ 686, đường Kim Giang, - Xã Thanh Liệt - Huyện Thanh Trì - Hà Nội – Việt Nam</t>
  </si>
  <si>
    <t>0108897096</t>
  </si>
  <si>
    <t>Thanh Trì</t>
  </si>
  <si>
    <t>0938198698</t>
  </si>
  <si>
    <t>tuvanbacsy115@gmail.com</t>
  </si>
  <si>
    <t>Trần thị Việt trinh</t>
  </si>
  <si>
    <t>27/09/2019</t>
  </si>
  <si>
    <t>CÔNG TY TNHH THƯƠNG MẠI VÀ CÔNG NGHỆ TERA</t>
  </si>
  <si>
    <t>0104888407</t>
  </si>
  <si>
    <t>Nhà 39, ngõ 54, phố Tôn Thất Tùng - Phường Khương Thượng - Quận Đống đa - Hà Nội - Việt Nam</t>
  </si>
  <si>
    <t xml:space="preserve">Nguyễn Sơn Lâm                                   </t>
  </si>
  <si>
    <t>27/09/2022</t>
  </si>
  <si>
    <t>CÔNG TY TNHH KINH DOANH VÀ XÂY DỰNG TÍN CƯỜNG</t>
  </si>
  <si>
    <t>0100380965</t>
  </si>
  <si>
    <t>Số 73, ngõ 75 đường Giải Phóng - Phường Đồng Tâm - Quận Hai Bà Trưng - Hà Nội - Việt Nam</t>
  </si>
  <si>
    <t xml:space="preserve">Đoàn Tùng Dương                                        </t>
  </si>
  <si>
    <t>26/09/2019</t>
  </si>
  <si>
    <t>CÔNG TY TNHH MÁY MÓC THIẾT BỊ CÔNG NGHIỆP THÔNG MINH SHENTE</t>
  </si>
  <si>
    <t>0201981948</t>
  </si>
  <si>
    <t>Chị Bắc HP</t>
  </si>
  <si>
    <t>Hồng Bàng</t>
  </si>
  <si>
    <t>Km92, Quốc lộ 5B, khu An Trì, - Phường Hùng Vương - Quận Hồng Bàng - Hải Phòng – Việt Nam</t>
  </si>
  <si>
    <t>Chị Bắc 0984999818</t>
  </si>
  <si>
    <t>dangbac1501@gmail.com</t>
  </si>
  <si>
    <t xml:space="preserve">Zhang, Jianwei                                         </t>
  </si>
  <si>
    <t>54 01 01 09 cc 31 40 90 80 f9 4f b3 5f 52 4a cf</t>
  </si>
  <si>
    <t>CÔNG TY TNHH ĐIỆN MẶT TRỜI MESOLAR VIỆT NAM</t>
  </si>
  <si>
    <t>Số 9, Ngõ 68, Đường Nguyễn Văn Linh (Tổ 17) - Phường Thạch Bàn - Quận Long Biên - Hà Nội – Việt Nam</t>
  </si>
  <si>
    <t xml:space="preserve">Hắc Ngọc Mạnh                                             </t>
  </si>
  <si>
    <t>CÔNG TY TNHH EKB VIỆT NAM</t>
  </si>
  <si>
    <t>Gia Lâm</t>
  </si>
  <si>
    <t>Xóm Ba - Xã Phù Đổng - Huyện Gia Lâm - Hà Nội – Việt Nam</t>
  </si>
  <si>
    <t xml:space="preserve">Nguyễn Văn Phú                        </t>
  </si>
  <si>
    <t>CÔNG TY TNHH ỨNG DỤNG, NGHIÊN CỨU VÀ PHÁT TRIỂN CÔNG NGHỆ AIDEV</t>
  </si>
  <si>
    <t>0201970142</t>
  </si>
  <si>
    <t>0108904723</t>
  </si>
  <si>
    <t>0108379217</t>
  </si>
  <si>
    <t>0201968048</t>
  </si>
  <si>
    <t>0108336333</t>
  </si>
  <si>
    <t>Ngô Quyền</t>
  </si>
  <si>
    <t>Số 44A/81 đường Nguyễn Trãi - Phường Máy Tơ - Quận Ngô Quyền - Hải Phòng – Việt Nam</t>
  </si>
  <si>
    <t xml:space="preserve">Vũ Hải Ninh         </t>
  </si>
  <si>
    <t>CÔNG TY TNHH PHÁT TRIỂN THƯƠNG MẠI DỊCH VỤ PHẠM TẤN</t>
  </si>
  <si>
    <t>0108919744</t>
  </si>
  <si>
    <t>Số 20 ngõ 120/20 phố Tây Sơn, Phường Quang Trung, Quận Đống Đa, Thành phố Hà Nội, Việt Nam</t>
  </si>
  <si>
    <t xml:space="preserve">Phạm Đình Tấn                               </t>
  </si>
  <si>
    <t>27/09/2020</t>
  </si>
  <si>
    <t>CÔNG TY TNHH THƯƠNG MẠI DỊCH VỤ TRẦN DÂN</t>
  </si>
  <si>
    <t>0108919180</t>
  </si>
  <si>
    <t>Số 3/53 Nguyễn Ngọc Vũ, Phường Trung Hoà, Quận Cầu Giấy, Thành phố Hà Nội, Việt Nam</t>
  </si>
  <si>
    <t xml:space="preserve">TRẦN VĂN DÂN                   </t>
  </si>
  <si>
    <t>Công Ty Cổ Phần Xuất Nhập Khẩu Và Xây Dựng Bình Ngân</t>
  </si>
  <si>
    <t>0105787779</t>
  </si>
  <si>
    <t>CÔNG TY CỔ PHẦN XUẤT NHẬP KHẨU VÀ XÂY DỰNG BÌNH NGÂN</t>
  </si>
  <si>
    <t>0394339069 Chị Thúy</t>
  </si>
  <si>
    <t xml:space="preserve">Vũ Quang Lợi                                             </t>
  </si>
  <si>
    <t>HS Cứng đưa Thơ</t>
  </si>
  <si>
    <t>Đôống Đa</t>
  </si>
  <si>
    <t>CK Nacencomm 925K - ngày 28/9</t>
  </si>
  <si>
    <t>28/09/2019</t>
  </si>
  <si>
    <t>CÔNG TY TNHH ỨNG DỤNG CÔNG NGHỆ MỚI L.S.D</t>
  </si>
  <si>
    <t>0105946193</t>
  </si>
  <si>
    <t>Số 108 Hồ Tùng Mậu, Phường Mai Dịch, Quận Cầu Giấy, Thành phố Hà Nội, Việt Nam</t>
  </si>
  <si>
    <t xml:space="preserve">Dương Thị Hải Yến                                                       </t>
  </si>
  <si>
    <t>28/09/2022</t>
  </si>
  <si>
    <t>Hiền Tín Mộc</t>
  </si>
  <si>
    <t>30/09/2019</t>
  </si>
  <si>
    <t>CÔNG TY TNHH MỘT THÀNH VIÊN TÝ TUYẾT</t>
  </si>
  <si>
    <t>207 Hải Phòng - Phường Tân Chính - Quận Thanh Khê - Đà Nẵng.</t>
  </si>
  <si>
    <t>0401374524</t>
  </si>
  <si>
    <t>Huỳnh Thị Lệ Tuyết</t>
  </si>
  <si>
    <t>CÔNG TY ĐIỆN LỰC QUỐC OAI</t>
  </si>
  <si>
    <t>0100101114-038</t>
  </si>
  <si>
    <t>Khu tái định cư đường Bắc Nam - Thị trấn Quốc Oai - Huyện Quốc Oai – TP.Hà Nội - Việt Nam</t>
  </si>
  <si>
    <t>chị Mai: 0987924944</t>
  </si>
  <si>
    <t>c27tckt@gmail.com</t>
  </si>
  <si>
    <t>CÔNG TY TNHH XUẤT NHẬP KHẨU VIETLAND</t>
  </si>
  <si>
    <t>Thuế Hoàng Mai</t>
  </si>
  <si>
    <t>0105956882</t>
  </si>
  <si>
    <t>Số 9, đường Ngọc Hồi - Phường Hoàng Liệt - Quận Hoàng Mai - Hà Nội  - Việt Nam</t>
  </si>
  <si>
    <t>huongbuoi</t>
  </si>
  <si>
    <t>CÔNG TY TNHH AUTOCARE QUANG PHÁT</t>
  </si>
  <si>
    <t>72-74 Vũ Trọng Hoàng - Phường Hoà An - Quận Cẩm Lệ - Đà Nẵng.</t>
  </si>
  <si>
    <t>0401995313</t>
  </si>
  <si>
    <t>Cẩm lệ</t>
  </si>
  <si>
    <t>CA2-e1.000</t>
  </si>
  <si>
    <t>HS Cứng (nợ)</t>
  </si>
  <si>
    <t>CK Nacencomm 2/10</t>
  </si>
  <si>
    <t>Công ty TNHH Khang Linh</t>
  </si>
  <si>
    <t>5700505774</t>
  </si>
  <si>
    <t>Thôn Cống Vông - Xã Cẩm La - Thị xã Quảng Yên - Quảng Ninh</t>
  </si>
  <si>
    <t xml:space="preserve"> Lê Đức Khang</t>
  </si>
  <si>
    <t>Công Ty TNHH Đóng Tàu Đại Dương</t>
  </si>
  <si>
    <t>5700691584</t>
  </si>
  <si>
    <t>Khu 12 - Phường Hà An - Thị xã Quảng Yên - Quảng Ninh.</t>
  </si>
  <si>
    <t>Nguyễn Văn Dương</t>
  </si>
  <si>
    <t>CÔNG TY TNHH SẢN XUẤT VÀ THƯƠNG MẠI THIẾT BỊ ĐIỆN CÔNG NGHIỆP QUẢNG NINH</t>
  </si>
  <si>
    <t>5702014147</t>
  </si>
  <si>
    <t>Tổ 1, Khu 8, - Phường Thanh Sơn - Thành phố Uông Bí - Quảng Ninh - Việt Nam</t>
  </si>
  <si>
    <t>hadg08@gmail.com</t>
  </si>
  <si>
    <t xml:space="preserve">Đỗ Văn Chung                                         </t>
  </si>
  <si>
    <t>Khu tập thể F361 - Xã Dục Tú - Huyện Đông Anh - Hà Nội – Việt Nam</t>
  </si>
  <si>
    <t>Trinhhue82@gmail.com</t>
  </si>
  <si>
    <t>Nguyễn Văn Vịnh</t>
  </si>
  <si>
    <t>CÔNG TY CỔ PHẦN DƯỢC PHẨM NASAPHAR</t>
  </si>
  <si>
    <t>0401705455</t>
  </si>
  <si>
    <t xml:space="preserve"> 55 Trần Xuân Lê - Phường Hoà Khê - Quận Thanh Khê - Đà Nẵng</t>
  </si>
  <si>
    <t>Thanh Khê</t>
  </si>
  <si>
    <t>CA2-e5.000</t>
  </si>
  <si>
    <t>Chị Hà Đông Nam</t>
  </si>
  <si>
    <t>Khương Trung</t>
  </si>
  <si>
    <t>Tầng 5, toà nhà Tân Hồng Hà Complex số 317 Trường Chinh - Phường Khương Trung - Quận Thanh Xuân - Hà Nội – Việt Nam</t>
  </si>
  <si>
    <t>Công ty TNHH Thương Mại HPIF</t>
  </si>
  <si>
    <t>Số 55 khu Trung Hành 8 - Phường Đằng Lâm - Quận Hải An - Hải Phòng</t>
  </si>
  <si>
    <t>0201180088</t>
  </si>
  <si>
    <t>Trần Doãn Phương</t>
  </si>
  <si>
    <t>NGÂN HÀNG THƯƠNG MẠI CỔ PHẦN XĂNG DẦU PETROLIMEX- CN ĐÀ NẴNG</t>
  </si>
  <si>
    <t>1400116233-002</t>
  </si>
  <si>
    <t>Tòa nhà Petrolimex Đà Nẵng, số 122 Đường 2/9 - Phường Bình Thuận - Quận Hải Châu - Đà Nẵng</t>
  </si>
  <si>
    <t>Lê Văn Phúc</t>
  </si>
  <si>
    <t>0976495479 - Hà</t>
  </si>
  <si>
    <t>CTY TOA CORPORATION NHẬT BẢN -THẦU CHÍNH T.H. DỰ ÁN KHO LẠNH CLK</t>
  </si>
  <si>
    <t>3702386374</t>
  </si>
  <si>
    <t>Lầu 2, tòa nhà VIPD, 04 NTMKhai, p. Đakao, Quận I - Phường Đa Kao - Quận 1 - TP Hồ Chí Minh.</t>
  </si>
  <si>
    <t>CÔNG TY TNHH TM - DV ASIA VACATION GROUP</t>
  </si>
  <si>
    <t>Vân Anh ANZ</t>
  </si>
  <si>
    <t>0105998804</t>
  </si>
  <si>
    <t>Tầng 5, Tòa nhà Leadvisors Place, 41A Lý Thái Tổ, Phường Lý Thái Tổ, Quận Hoàn Kiếm, Thành phố Hà Nội, Việt Nam</t>
  </si>
  <si>
    <t>acc5@fareastvacation.com</t>
  </si>
  <si>
    <t xml:space="preserve">Đào Đức Tiềm                                         </t>
  </si>
  <si>
    <t>CÔNG TY CỔ PHẦN NEWTECH VIỆT NAM</t>
  </si>
  <si>
    <t>0105839434</t>
  </si>
  <si>
    <t>Số 19I/19 ngõ 125, tổ 23 phố Bùi Xương Trạch - Phường Khương Đình - Quận Thanh Xuân - Hà Nội, Việt Nam</t>
  </si>
  <si>
    <t>0944214593 - a hiến</t>
  </si>
  <si>
    <t xml:space="preserve"> xuanhienhvtc49@gmail.com. ntvn6688@gmail.com</t>
  </si>
  <si>
    <t xml:space="preserve">Trần Nam Trung                                                       </t>
  </si>
  <si>
    <t>CÔNG TY CỔ PHẦN ĐẦU TƯ ĐẠI VIỆT</t>
  </si>
  <si>
    <t>Chị Lê Nacencomm</t>
  </si>
  <si>
    <t>0101115938</t>
  </si>
  <si>
    <t>Nhà số 1-N15, đường Trần Đăng Ninh - Phường Dịch Vọng - Quận Cầu Giấy - Hà Nội - Việt Nam</t>
  </si>
  <si>
    <t xml:space="preserve"> khanhthu101975@gmail.com </t>
  </si>
  <si>
    <t xml:space="preserve"> HS Giấy (nợ)</t>
  </si>
  <si>
    <t>CÔNG TY TNHH ÂM NHẠC HÀ NỘI</t>
  </si>
  <si>
    <t>Số 2, ngách 61, ngõ 342, đường Khương Đình, - Phường Hạ Đình - Quận Thanh Xuân - Hà Nội – Việt Nam</t>
  </si>
  <si>
    <t xml:space="preserve">Phạm Đình Luân                </t>
  </si>
  <si>
    <t>CÔNG TY CỔ PHẦN DỊCH VỤ CÔNG NGHỆ SMT VIỆT NAM</t>
  </si>
  <si>
    <t>Trang NSG</t>
  </si>
  <si>
    <t>0108929735</t>
  </si>
  <si>
    <t>Phòng 909, Tầng 9, Tòa nhà SkyCity Tower A, Số 88 Láng Hạ, - Phường Láng Hạ - Quận Đống đa - Hà Nội - Việt Nam</t>
  </si>
  <si>
    <t xml:space="preserve">Cao Thị Hồng Hạnh                      </t>
  </si>
  <si>
    <t>HS Giấy (nợ)</t>
  </si>
  <si>
    <t>54 01 01 04 1c fc 9a 8f c2 d2 68 82 5d 44 12 35</t>
  </si>
  <si>
    <t>54 01 01 10 ca c9 e5 a6 03 f5 86 fe 7b ba 18 35</t>
  </si>
  <si>
    <t>TT long</t>
  </si>
  <si>
    <t>CÔNG TY TNHH THHT</t>
  </si>
  <si>
    <t>0700831585</t>
  </si>
  <si>
    <t>Phủ lý</t>
  </si>
  <si>
    <t>Số nhà 19, ngõ 172 Nguyễn Văn Trỗi - Phường Hai Bà Trưng - Thành phố Phủ Lý - Hà Nam - Việt Nam</t>
  </si>
  <si>
    <t>Đỗ Văn Hùng</t>
  </si>
  <si>
    <t>CÔNG TY TNHH THƯƠNG MẠI VÀ DỊCH VỤ NHẬT BẢO KHÔI</t>
  </si>
  <si>
    <t>0201956003</t>
  </si>
  <si>
    <t>HS Giấy (đã đưa Thơ)</t>
  </si>
  <si>
    <t>CÔNG TY TNHH NORANG VINA</t>
  </si>
  <si>
    <t>Hằng Tường Duy</t>
  </si>
  <si>
    <t>0108331906</t>
  </si>
  <si>
    <t>Căn nhà 23-B Khu nhà ở thấp tầng, ô đất A10 Khu đô thị Nam T - Phường Yên Hoà - Quận Cầu Giấy - Hà Nội. - Việt Nam</t>
  </si>
  <si>
    <t>14/10/2019</t>
  </si>
  <si>
    <t>CÔNG TY CỔ PHẦN TƯ VẤN THIẾT KẾ TỔNG HƠP</t>
  </si>
  <si>
    <t>44 Trần Quang Khải - Phường Phú Hội - Thành phố Huế - Thừa Thiên - Huế - Việt Nam</t>
  </si>
  <si>
    <t>3300361041</t>
  </si>
  <si>
    <t>cô Hồng 0914202731</t>
  </si>
  <si>
    <t>Huỳnh Quang</t>
  </si>
  <si>
    <t>TT Long đưa Chúc nộp</t>
  </si>
  <si>
    <t>0108261536</t>
  </si>
  <si>
    <t>0108679845</t>
  </si>
  <si>
    <t>15/10/2019</t>
  </si>
  <si>
    <t>15/10/2022</t>
  </si>
  <si>
    <t>CÔNG TY TNHH BA BA LA</t>
  </si>
  <si>
    <t>3602935655</t>
  </si>
  <si>
    <t>Số 39A5, KDC An Bình - Phường An Bình - Thành phố Biên Hoà - Đồng Nai - Việt Nam</t>
  </si>
  <si>
    <t>0939269378 Chị Hải</t>
  </si>
  <si>
    <t>maingochai.2612@gmail.com</t>
  </si>
  <si>
    <t>VĂN PHÒNG LUẬT SƯ ĐỨC THU</t>
  </si>
  <si>
    <t>0101618378</t>
  </si>
  <si>
    <t>P1 B14 TT Kim Liên - Phường Kim Liên - Quận Đống đa - Hà Nội - Việt Nam</t>
  </si>
  <si>
    <t>Cô Thu 0917921960</t>
  </si>
  <si>
    <t>lsxuanthu2018@gmail.com</t>
  </si>
  <si>
    <t>CÔNG TY CỔ PHẦN ĐẦU TƯ THƯƠNG MẠI PHÁT TRIỂN CÔNG NGHỆ XANH VIỆT NAM</t>
  </si>
  <si>
    <t>0106632746</t>
  </si>
  <si>
    <t>Khu công nghiệp Thuận Thành - Xã Xuân Lâm - Huyện Thuận Thành - Bắc Ninh - Việt Nam</t>
  </si>
  <si>
    <t xml:space="preserve">Chị Hương </t>
  </si>
  <si>
    <t>Baningreetech@gmail.com</t>
  </si>
  <si>
    <t>Nguyễn Thị Kim Dung</t>
  </si>
  <si>
    <t>CK Khách 100000</t>
  </si>
  <si>
    <t>CÔNG TY CỔ PHẦN TRUYỀN THÔNG THƯƠNG MẠI VIỆT Á</t>
  </si>
  <si>
    <t>0104818657</t>
  </si>
  <si>
    <t>Số nhà 26, phố Nhân Hòa - Phường Nhân Chính - Quận Thanh Xuân - Hà Nội  - Việt Nam</t>
  </si>
  <si>
    <t>17/10/2019</t>
  </si>
  <si>
    <t>CÔNG TY TNHH XÂY DỰNG LĨNH PHONG</t>
  </si>
  <si>
    <t>3702383285</t>
  </si>
  <si>
    <t>Số 1183/31 Lê Hồng Phong, khu phố 8 - Phường Phú Thọ - Thành phố Thủ Dầu Một - Bình Dương - Việt Nam</t>
  </si>
  <si>
    <t>Chị Phượng: 0937930093</t>
  </si>
  <si>
    <t xml:space="preserve">Lương Quốc Phú           </t>
  </si>
  <si>
    <t>17/10/2022</t>
  </si>
  <si>
    <t>CÔNG TY CỔ PHẦN ĐẦU TƯ THỦY ĐIỆN ANPHA</t>
  </si>
  <si>
    <t>5500283563</t>
  </si>
  <si>
    <t>Số 02, Ngõ 308A, Đường Chu Văn Thịnh, Tổ 12 - Phường Chiềng Lề - Thành phố Sơn La - Sơn La - Việt Nam</t>
  </si>
  <si>
    <t>Hường: 0973007552</t>
  </si>
  <si>
    <t>thuydienanpha@gmail.com</t>
  </si>
  <si>
    <t>17/10/2020</t>
  </si>
  <si>
    <t>18/10/2019</t>
  </si>
  <si>
    <t>CHI NHÁNH CÔNG TY TNHH MAY MẶC XUẤT KHẨU MINH HẢI TẠI ĐÀ NẴNG</t>
  </si>
  <si>
    <t>4000438217-001</t>
  </si>
  <si>
    <t>CK Nacencomm 2,4tr</t>
  </si>
  <si>
    <t>Trả tiền mặt Long 2,3tr</t>
  </si>
  <si>
    <t>CÔNG TY CỔ PHẦN SAIGON FUTURES</t>
  </si>
  <si>
    <t>198 Nguyễn Thị Minh Khai - Phường 06 - Quận 3 - TP Hồ Chí Minh – Việt Nam</t>
  </si>
  <si>
    <t>CTV Thu</t>
  </si>
  <si>
    <t>0315173341</t>
  </si>
  <si>
    <t>Hằng 0985652612</t>
  </si>
  <si>
    <t xml:space="preserve">Nguyễn Hoàng Công                  </t>
  </si>
  <si>
    <t>18/10/2022</t>
  </si>
  <si>
    <t>HS Cứng nợ</t>
  </si>
  <si>
    <t>CÔNG TY TNHH KHANG MINH</t>
  </si>
  <si>
    <t>Chị Xuân oto 5a</t>
  </si>
  <si>
    <t>0101116593</t>
  </si>
  <si>
    <t>Nguyễn Minh Cường</t>
  </si>
  <si>
    <t>Công Ty TNHH Phát Triển Công Nghệ Sinh Học Mỹ Á</t>
  </si>
  <si>
    <t>0307836281</t>
  </si>
  <si>
    <t>B2/23 Nguyễn Hữu Trí Khu Phố 2 Ấp 2 Thị Trấn Tân Túc Huyện Bình Chánh TP HCM</t>
  </si>
  <si>
    <t>Chị Giàu 0911035474</t>
  </si>
  <si>
    <t>18/10/2020</t>
  </si>
  <si>
    <t>CÔNG TY TNHH ĐẦU TƯ SẢN XUẤT THÀNH ĐẠT</t>
  </si>
  <si>
    <t xml:space="preserve"> 2802299317</t>
  </si>
  <si>
    <t>Số nhà 452 Lê Lợi - Phường Lam Sơn - Thị xã Bỉm Sơn - Thanh Hoá - Việt Nam</t>
  </si>
  <si>
    <t>Bỉm Sơn</t>
  </si>
  <si>
    <t xml:space="preserve">Trịnh Đình Tho                          </t>
  </si>
  <si>
    <t>CK long</t>
  </si>
  <si>
    <t>CÔNG TY TNHH CÔNG NGHỆ THỰC PHẨM HẢI ĐĂNG</t>
  </si>
  <si>
    <t xml:space="preserve"> 5500586920</t>
  </si>
  <si>
    <t>Số 22 đường 3-2, Tổ 1 - Phường Quyết Thắng - Thành phố Sơn La - Sơn La - Việt Nam</t>
  </si>
  <si>
    <t>Sơn La</t>
  </si>
  <si>
    <t>Minh QT14</t>
  </si>
  <si>
    <t>em Trang: 0904682489</t>
  </si>
  <si>
    <t xml:space="preserve">Lê Thị Quỳnh Trang      </t>
  </si>
  <si>
    <t>19/10/2019</t>
  </si>
  <si>
    <t>CÔNG TY TNHH LIÊN DOANH SHIDE VIỆT NAM</t>
  </si>
  <si>
    <t>0105568512</t>
  </si>
  <si>
    <t>Km 14+400 đường Ngọc Hồi - Xã Liên Ninh - Huyện Thanh Trì - Hà Nội</t>
  </si>
  <si>
    <t>21/10/2019</t>
  </si>
  <si>
    <t>Công Ty Cổ Phần Kinh Doanh Kiyokawa</t>
  </si>
  <si>
    <t>0800758970</t>
  </si>
  <si>
    <t>Số 131, đường Thanh Niên - Phường Hải Tân - Thành phố Hải Dương - Hải Dương - Việt Nam</t>
  </si>
  <si>
    <t>0982874347</t>
  </si>
  <si>
    <t>0977 045 816 Chị Lan</t>
  </si>
  <si>
    <t>nguyenlan.kbcorp@gmail.com</t>
  </si>
  <si>
    <t>21/10/2022</t>
  </si>
  <si>
    <t>19/10/2022</t>
  </si>
  <si>
    <t>CN CTy TNHH MTV Dệt 8-3 - Xí Nghiệp Veston Hải Phòng</t>
  </si>
  <si>
    <t>0100100086-001</t>
  </si>
  <si>
    <t>0989743121 Chị Hương</t>
  </si>
  <si>
    <t>vtthuong@em-texco.com</t>
  </si>
  <si>
    <t>21/10/2020</t>
  </si>
  <si>
    <t xml:space="preserve"> Công Ty Cổ Phần Công Nghệ Inmoteck Quốc Tế</t>
  </si>
  <si>
    <t>0936986468 Chị Hằng</t>
  </si>
  <si>
    <t>0107098083</t>
  </si>
  <si>
    <t>Tầng 2, Số 1, Ngách 222/16 Lê Duẩn, Phường Khâm Thiên, Quận Đống Đa, Thành phố Hà Nội, Việt Nam</t>
  </si>
  <si>
    <t>nhatanh@inmoteck.com</t>
  </si>
  <si>
    <t>22/10/2019</t>
  </si>
  <si>
    <t>Tầng 2, Tòa nhà Trung Yên 1, đường Trung Yên 1, Khu đô thị T - Phường Trung 
Hoà - Quận Cầu Giấy - Hà Nội - Việt Nam</t>
  </si>
  <si>
    <t>phianhtrung@trungquanmedia.com</t>
  </si>
  <si>
    <t>23/10/2019</t>
  </si>
  <si>
    <t>CÔNG TY TNHH ĐẦU TƯ VÀ PHÁT TRIỂN HACO VIỆT NAM</t>
  </si>
  <si>
    <t>Bắc Ninh</t>
  </si>
  <si>
    <t>Thôn Xuân Đồng, - Xã Hòa Long - Thành phố Bắc Ninh - Bắc Ninh – Việt Nam</t>
  </si>
  <si>
    <t xml:space="preserve">Nguyễn Thanh Hải          </t>
  </si>
  <si>
    <t>54 01 01 10 af 14 58 a6 ad ed 4f 2a e8 9c 35 70</t>
  </si>
  <si>
    <t>24/102019</t>
  </si>
  <si>
    <t xml:space="preserve">CÔNG TY TNHH IN - THƯƠNG MẠI THUẬN PHÁT  </t>
  </si>
  <si>
    <t>0102746559</t>
  </si>
  <si>
    <t>Tổ dân phố Vân Trì - Phường Minh Khai - Quận Bắc Từ Liêm - Hà Nội</t>
  </si>
  <si>
    <t>0972663678</t>
  </si>
  <si>
    <t>24/10/2019</t>
  </si>
  <si>
    <t>25/10/2019</t>
  </si>
  <si>
    <t>CÔNG TY TNHH HƯNG ĐẠT CÀ PHÊ</t>
  </si>
  <si>
    <t>0315971622</t>
  </si>
  <si>
    <t>Tòa nhà Rosana, 60 Nguyễn Đình Chiểu, - Phường Đa Kao - Quận 1 - TP Hồ Chí Minh.</t>
  </si>
  <si>
    <t>26/10/2019</t>
  </si>
  <si>
    <t xml:space="preserve">Nguyễn Tiến Dũng                                    </t>
  </si>
  <si>
    <t>54 02 bc 5c ac ce 66 9c 20 15 00 01 00 03 c6 ad</t>
  </si>
  <si>
    <t>CÔNG TY TNHH THƯƠNG MẠI VÀ DỊCH VỤ TRƯỜNG BẢO HỘI AN</t>
  </si>
  <si>
    <t>Lô 01-O18 Khu đô thị Phước Trạch - Phước Hải - Phường Cửa Đại - Thành phố Hội An - Quảng Nam.</t>
  </si>
  <si>
    <t>4001119661</t>
  </si>
  <si>
    <t>29/10/2019</t>
  </si>
  <si>
    <t>CÔNG TY CỔ PHẦN ĐẦU TƯ METRA</t>
  </si>
  <si>
    <t>Anh Lập 1V</t>
  </si>
  <si>
    <t>0108893905</t>
  </si>
  <si>
    <t>Số nhà 81/178, tổ dân phố trù 5, đường Cổ Nhuế, - Phường Cổ Nhuế 2 - Quận Bắc Từ Liêm - Hà Nội - Việt Nam</t>
  </si>
  <si>
    <t>Dunghee-Metra</t>
  </si>
  <si>
    <t>CÔNG TY CỔ PHẦN THIẾT BỊ ÁNH SÁNG VIỆT</t>
  </si>
  <si>
    <t>0106505000</t>
  </si>
  <si>
    <t>Số 16, Lô 3, đường Cổ Linh, tổ 23 - Phường Long Biên - Quận Long Biên – Thành Phố Hà Nội</t>
  </si>
  <si>
    <t xml:space="preserve">Nguyễn Văn Ngôn                   </t>
  </si>
  <si>
    <t>Anh Ngôn:0962353758</t>
  </si>
  <si>
    <t>29/10/2022</t>
  </si>
  <si>
    <t>CÔNG TY TNHH CUNG ỨNG TỔNG HỢP BẢO LONG</t>
  </si>
  <si>
    <t>5701764041</t>
  </si>
  <si>
    <t>Tổ 8 khu 7 - Phường Hồng Hà - Thành phố Hạ Long - Quảng Ninh</t>
  </si>
  <si>
    <t>Chị Phương : 0387246683</t>
  </si>
  <si>
    <t>Vương Ngọc Tuấn</t>
  </si>
  <si>
    <t>29/10/2021</t>
  </si>
  <si>
    <t>0100779904</t>
  </si>
  <si>
    <t>CÔNG TY CỔ PHẦN ĐẦU TƯ CÔNG NGHỆ VÀ THƯƠNG MẠI THỦ ĐÔ</t>
  </si>
  <si>
    <t>Số 87 Thái Hà - Phường Trung Liệt - Quận Đống đa - Hà Nội.</t>
  </si>
  <si>
    <t>0984436815 Anh Bình</t>
  </si>
  <si>
    <t>Trần Đức Sơn</t>
  </si>
  <si>
    <t>Thảo Trần</t>
  </si>
  <si>
    <t>30/10/2019</t>
  </si>
  <si>
    <t>Số 02, ngách 41/3 đường Trần Duy Hưng - Phường Trung Hoà - Quận Cầu Giấy - Hà Nội.</t>
  </si>
  <si>
    <t>Thảo trần</t>
  </si>
  <si>
    <t>Thaotran0105@gmail.com</t>
  </si>
  <si>
    <t>Nguyễn Phương Nam</t>
  </si>
  <si>
    <t>CÔNG TY TNHH KỸ THUẬT PMI</t>
  </si>
  <si>
    <t>0107846331</t>
  </si>
  <si>
    <t>Số nhà 19, Hẻm 72/73/30 phố Quan Nhân - Phường Nhân Chính - Quận Thanh Xuân – Thành Phố Hà 
Nội.</t>
  </si>
  <si>
    <t>Nguyễn Duy Luận</t>
  </si>
  <si>
    <t>54 08 48 d4 f1 5e 81 ca fc 33 bc 02 70 72 c1 ff</t>
  </si>
  <si>
    <t>Công Ty TNHH Thương Mại Và Dịch Vụ Du Lịch Nam Vinh</t>
  </si>
  <si>
    <t>0104186327</t>
  </si>
  <si>
    <t xml:space="preserve"> Công Ty Cổ Phần Xây Dựng - Thương Mại Cát Thành</t>
  </si>
  <si>
    <t>ms Hảo 0976068233</t>
  </si>
  <si>
    <t xml:space="preserve"> Xóm Xuân Sen - Xã Thủy Xuân Tiên - Huyện Chương Mỹ - Hà Nội.</t>
  </si>
  <si>
    <t>0500467096</t>
  </si>
  <si>
    <t>30/10/2020</t>
  </si>
  <si>
    <t>CK khách 277K</t>
  </si>
  <si>
    <t xml:space="preserve"> CÔNG TY CỔ PHẦN KINH DOANH VÀ XÂY LẮP MINH PHÁT</t>
  </si>
  <si>
    <t>0106953958</t>
  </si>
  <si>
    <t>Đội 4 - Xã Tả Thanh Oai - Huyện Thanh Trì - Hà Nội.</t>
  </si>
  <si>
    <t>huecdc@gmail.com</t>
  </si>
  <si>
    <t>31/10/2019</t>
  </si>
  <si>
    <t>3301659345</t>
  </si>
  <si>
    <t xml:space="preserve"> CÔNG TY CỔ PHẦN DU THUYỀN HƯƠNG RIVER</t>
  </si>
  <si>
    <t>Dung 0967 617 929</t>
  </si>
  <si>
    <t>duthuyenpelican@gmail.com</t>
  </si>
  <si>
    <t>31/10/2022</t>
  </si>
  <si>
    <t>CK Khách 700K</t>
  </si>
  <si>
    <t>CÔNG TY TNHH CƠ KHÍ CHÍNH XÁC GIA KHÁNH</t>
  </si>
  <si>
    <t>0108891986</t>
  </si>
  <si>
    <t>Đinh Văn Đại</t>
  </si>
  <si>
    <t>Khu Gò Khúng - Xã Đức Thượng - Huyện Hoài Đức - Hà Nội.</t>
  </si>
  <si>
    <t>Anh Thịnh 0902555608</t>
  </si>
  <si>
    <t>540101090549f6da1efa297c96c09691</t>
  </si>
  <si>
    <t>CÔNG TY TNHH HIỀN PHƯỚC</t>
  </si>
  <si>
    <t>0106169341</t>
  </si>
  <si>
    <t>Số 488 D4 Tân Mai - Phường Tân Mai - Quận Hoàng Mai - Hà Nội</t>
  </si>
  <si>
    <t>Hiền 0978134289</t>
  </si>
  <si>
    <t xml:space="preserve">ctyhienphuoc@gmail.com </t>
  </si>
  <si>
    <t>Nguyễn Tấn Hùng</t>
  </si>
  <si>
    <t>CÔNG TY TNHH VÂN LONG TUYẾT</t>
  </si>
  <si>
    <t>0401707043</t>
  </si>
  <si>
    <t>Đại lý chị Lan Anh</t>
  </si>
  <si>
    <t>CK khách 600K</t>
  </si>
  <si>
    <t>ỦY BAN NHÂN DÂN PHƯỜNG HẢI CHÂU 1</t>
  </si>
  <si>
    <t>0400259399</t>
  </si>
  <si>
    <t>CÔNG TY TNHH PHÁT TRIỂN DỊCH VỤ HOÀNG HÀ</t>
  </si>
  <si>
    <t>0107954697</t>
  </si>
  <si>
    <t>Số nhà 28 ngách 61 ngõ 180 Tổ dân phố Phượng, đường Tây Mỗ - Phường Tây Mỗ - Quận Nam Từ Liêm - Hà Nội</t>
  </si>
  <si>
    <t xml:space="preserve">Trần Mạnh Hùng </t>
  </si>
  <si>
    <t>5404fffeb7033fb316d672201b7d807a</t>
  </si>
  <si>
    <t>Văn phòng luật sư Hưng Giang</t>
  </si>
  <si>
    <t>0101948954</t>
  </si>
  <si>
    <t>‎5402bc5cacce669c2015000000038897</t>
  </si>
  <si>
    <t xml:space="preserve">Số 20 BT3 khu đô thị Pháp Vân, Phường Hoàng Liệt, Quận Hoàng Mai, Hà Nội </t>
  </si>
  <si>
    <t>vanthianh111@gmail.com</t>
  </si>
  <si>
    <t>CÔNG TY TNHH MỘT THÀNH VIÊN CƠ KHÍ VÀ XÂY DỰNG VIỆT NAM</t>
  </si>
  <si>
    <t>0104858850</t>
  </si>
  <si>
    <t>Tổ 7 - Thị trấn Quang Minh - Huyện Mê Linh - Hà Nội - Việt Nam</t>
  </si>
  <si>
    <t>Anh Trung: 0904898996</t>
  </si>
  <si>
    <t xml:space="preserve">Trần Văn Trung                                         </t>
  </si>
  <si>
    <t>CÔNG TY CỔ PHẦN Y TẾ GERVIME</t>
  </si>
  <si>
    <t>Số 13BT2 khu đô thị Pháp Vân - Phường Hoàng Liệt - Quận Hoàng Mai - Hà Nội - Việt Nam</t>
  </si>
  <si>
    <t>Anh Tùng Hoàng Mai</t>
  </si>
  <si>
    <t>0108650236</t>
  </si>
  <si>
    <t>Phạm Mạnh Hùng</t>
  </si>
  <si>
    <t>dinhoanh28011997@gmail.com</t>
  </si>
  <si>
    <t>CÔNG TY CỔ PHẦN KINH DOANH VÀ XÂY LẮP MINH PHÁT</t>
  </si>
  <si>
    <t>Đội 4, Xã Tả Thanh Oai, Huyện Thanh Trì, Thành Phố Hà Nội, Việt Nam</t>
  </si>
  <si>
    <t>số 13BT2 khu đô thị Pháp Vân, Phường Hoàng Liệt, Quận Hoàng Mai, Thành phố Hà Nội</t>
  </si>
  <si>
    <t>Oanh: 0338547559</t>
  </si>
  <si>
    <t>dinhoanh28011997</t>
  </si>
  <si>
    <t>ca2-eI500</t>
  </si>
  <si>
    <t>CÔNG TY TNHH LUẬT VÀ DỊCH VỤ KẾ TOÁN VIỆT NAM</t>
  </si>
  <si>
    <t>0101995859</t>
  </si>
  <si>
    <t>Anh Hoàng</t>
  </si>
  <si>
    <t>Tầng 8, tòa nhà HITC, số 239 đường Xuân Thủy, Phường Dịch Vọng, Quận Cầu Giấy, Thành phố Hà Nội</t>
  </si>
  <si>
    <t>Nguyễn Huy Hoàng</t>
  </si>
  <si>
    <t xml:space="preserve">hoangls@laf.vn </t>
  </si>
  <si>
    <t xml:space="preserve"> </t>
  </si>
  <si>
    <t xml:space="preserve">Triệu Mai Hai         </t>
  </si>
  <si>
    <t>CK Nacecomm</t>
  </si>
  <si>
    <t>0107786273</t>
  </si>
  <si>
    <t>CÔNG TY TNHH SẢN XUẤT THƯƠNG MẠI VÀ XUẤT NHẬP KHẨU GIA HƯNG</t>
  </si>
  <si>
    <t>Đội 5 Thôn Trát Cầu - Xã Tiền Phong - Huyện Thường Tín - Hà Nội.</t>
  </si>
  <si>
    <t>13/11/2019</t>
  </si>
  <si>
    <t>0103231707</t>
  </si>
  <si>
    <t>Đội 5 thôn Trát Cầu, xã Tiền Phong - Xã Tiền Phong - Huyện Thường Tín - Hà Nội.</t>
  </si>
  <si>
    <t>CÔNG TY TNHH XUẤT NHẬP KHẨU DỊCH VỤ VÀ THƯƠNG MẠI DUY KHÁNH</t>
  </si>
  <si>
    <t>CÔNG TY CỔ PHẦN THƯƠNG MẠI VÀ DỊCH VỤ TRỰC TUYẾN SBH</t>
  </si>
  <si>
    <t>0108958599</t>
  </si>
  <si>
    <t>Nhà B11-20 khu đô thị Vinhomes Gardenia, đường Hàm Nghi, - Phường Cầu Diễn - Quận Nam Từ Liêm - Hà Nội.</t>
  </si>
  <si>
    <t>Cuc thuế Hà Nội</t>
  </si>
  <si>
    <t>Anh Hiệp - 096692109</t>
  </si>
  <si>
    <t>Trịnh Đức Hiệp</t>
  </si>
  <si>
    <t>CÔNG TY CỔ PHẦN CƠ KHÍ XÂY DỰNG VÀ THƯƠNG MẠI HỢP MINH</t>
  </si>
  <si>
    <t>Nhà B9, khu tập thể T59 Pháp Vân, đường Pháp Vân - Phường Hoàng Liệt - Quận Hoàng Mai - Hà Nội.</t>
  </si>
  <si>
    <t>Anh Phước: 0913033512
Hạnh: 0979598021</t>
  </si>
  <si>
    <t>Nguyễn Minh Phước</t>
  </si>
  <si>
    <t>0102304712</t>
  </si>
  <si>
    <t>0101312051</t>
  </si>
  <si>
    <t>CÔNG TY CỔ PHẦN MÁY LỌC THẬN VIỆT NAM</t>
  </si>
  <si>
    <t>Số 40, thôn Pháp Vân - Phường Hoàng Liệt - Quận Hoàng Mai - Hà Nội.</t>
  </si>
  <si>
    <t>Anh Trung: 090488996</t>
  </si>
  <si>
    <t>Nguyễn Hoàng Loan</t>
  </si>
  <si>
    <t>CÔNG TY TNHH THƯƠNG MẠI VÀ THIẾT BỊ Y TẾ NHẬT NAM</t>
  </si>
  <si>
    <t>0106017162</t>
  </si>
  <si>
    <t>Tổ dân phố Phượng - Phường Tây Mỗ - Quận Nam Từ Liêm - Hà Nội.</t>
  </si>
  <si>
    <t>0402010618</t>
  </si>
  <si>
    <t>CÔNG TY TNHH HOÀN THÀNH LỘC</t>
  </si>
  <si>
    <t xml:space="preserve"> 0402010618</t>
  </si>
  <si>
    <t>Đà Nẵng</t>
  </si>
  <si>
    <t>Tờ bản đồ số 26, Thửa đất số 152, Tổ 64 - Phường Thanh Khê Tây - Quận Thanh Khê - Đà Nẵng.</t>
  </si>
  <si>
    <t>0108960823</t>
  </si>
  <si>
    <t>14/11/2019</t>
  </si>
  <si>
    <t xml:space="preserve"> CÔNG TY CỔ PHẦN ĐẦU TƯ VNJ VIỆT NAM</t>
  </si>
  <si>
    <t>Tòa nhà A2- số 8 phạm Hùng, - Phường Mễ Trì - Quận Nam Từ Liêm - Hà Nội.</t>
  </si>
  <si>
    <t xml:space="preserve">chikinhbac@gmail.com </t>
  </si>
  <si>
    <t>Phương Chi: 0976180931</t>
  </si>
  <si>
    <t>CÔNG TY CỔ PHẦN KIẾN TRÚC XÂY DỰNG VÀ THƯƠNG MẠI 36</t>
  </si>
  <si>
    <t>0105749477</t>
  </si>
  <si>
    <t>Số 11A, ngách 6/31 Đặng Văn Ngữ - Phường Phương Liên - Quận Đống đa - Hà Nội.</t>
  </si>
  <si>
    <t xml:space="preserve"> CÔNG TY CỔ PHẦN SẢN XUẤT ĐIỆN TỬ HÀ NỘI</t>
  </si>
  <si>
    <t>0106897118</t>
  </si>
  <si>
    <t>16/11/2019</t>
  </si>
  <si>
    <t>Số 15, ngách 50/7, ngõ 250 Kim Giang, tổ 27 - Phường Đại Kim - Quận Hoàng Mai - Hà Nội.</t>
  </si>
  <si>
    <t>Vân Anh: '0979448963</t>
  </si>
  <si>
    <t>Đỗ Thị Vân Anh</t>
  </si>
  <si>
    <t>Công ty Cổ phần kỹ thuật Công nghệ xanh Quốc tế</t>
  </si>
  <si>
    <t>0107445121</t>
  </si>
  <si>
    <t>Số 7, ngõ 151 (K8), đường Hồng Hà - Phường Phúc Xá - Quận Ba Đình - Hà Nội.</t>
  </si>
  <si>
    <t>Phạm Quang Dũng</t>
  </si>
  <si>
    <t>CÔNG TY CỔ PHẦN THƯƠNG MẠI VÀ XÂY DỰNG NỘI THẤT AHLV VIỆT NAM</t>
  </si>
  <si>
    <t>0107652625</t>
  </si>
  <si>
    <t>CÔNG TY TNHH TƯ VẤN ĐẠI PHÁT</t>
  </si>
  <si>
    <t>0108353723</t>
  </si>
  <si>
    <t>CÔNG TY TNHH LUCKYTEK VIỆT NAM</t>
  </si>
  <si>
    <t>0106442128</t>
  </si>
  <si>
    <t>CÔNG TY TNHH THƯƠNG MẠI VÀ DỊCH VỤ OKAIDO VIỆT NAM</t>
  </si>
  <si>
    <t>0108593443</t>
  </si>
  <si>
    <t>Đã TT Chúc</t>
  </si>
  <si>
    <t>CÔNG TY TNHH BRICKEE VIỆT NAM</t>
  </si>
  <si>
    <t>0108976982</t>
  </si>
  <si>
    <t>Công Ty TNHH Kim Quang Minh</t>
  </si>
  <si>
    <t>0105869478</t>
  </si>
  <si>
    <t>14/11/2022</t>
  </si>
  <si>
    <t>CÔNG TY CP XÂY DỰNG TÂN VŨ</t>
  </si>
  <si>
    <t>18/11/2019</t>
  </si>
  <si>
    <t>CÔNG TY CỔ PHẦN VNAPACIFIC</t>
  </si>
  <si>
    <t>0105338893</t>
  </si>
  <si>
    <t>Số 6, hẻm 12, ngách 173, ngõ 192, đường Lê Trọng Tấn - Phường Định Công - Quận Hoàng Mai - Hà Nội.</t>
  </si>
  <si>
    <t>Số nhà 45A, ngách 49 ngõ 236, Phố Đại Từ - Phường Đại Kim - Quận Hoàng Mai - Hà Nội.</t>
  </si>
  <si>
    <t xml:space="preserve"> 3001782387</t>
  </si>
  <si>
    <t>18/11/2020</t>
  </si>
  <si>
    <t>19/11/2019</t>
  </si>
  <si>
    <t>Công ty CP GWIN</t>
  </si>
  <si>
    <t>0105243923</t>
  </si>
  <si>
    <t>Tầng 21 Tòa nhà MD Complex, Số 68 Đường Nguyễn Cơ Thạch - Phường Cầu Diễn - Quận Nam Từ Liêm - Hà Nội.</t>
  </si>
  <si>
    <t>Chị Vân:'0961893866</t>
  </si>
  <si>
    <t>haivan@gwin.com.vn</t>
  </si>
  <si>
    <t>Đã TT Nacencomm (19.11.2019)</t>
  </si>
  <si>
    <t>Công Ty TNHH CGCC Vina</t>
  </si>
  <si>
    <t>0108417744</t>
  </si>
  <si>
    <t>Số 168 Lương Thế Vinh - Phường Trung Văn - Quận Nam Từ Liêm - Hà Nội.</t>
  </si>
  <si>
    <t>Chị Yến: 0868427872</t>
  </si>
  <si>
    <t>nguyenhaiyen191@gmail.com</t>
  </si>
  <si>
    <t>Ca2-ei5.000</t>
  </si>
  <si>
    <t xml:space="preserve"> Số 58/3, phố Kim Mã - Phường Kim Mã - Quận Ba Đình - Hà Nội.</t>
  </si>
  <si>
    <t>20/11/2019</t>
  </si>
  <si>
    <t>Công ty TNHH SM Tech</t>
  </si>
  <si>
    <t>0106028982</t>
  </si>
  <si>
    <t>LK1-M03, Lô LK-75, KĐT mơi Băc An Khanh - Splendora - Xã An Khánh - Huyện Hoài Đức - Hà Nội.</t>
  </si>
  <si>
    <t>Trang: 0979243662</t>
  </si>
  <si>
    <t>20/11/2021</t>
  </si>
  <si>
    <t>CÔNG TY TNHH DỊCH VỤ SỰ KIỆN VÀ NHÀ HÀNG MẶT TRỜI ĐỎ</t>
  </si>
  <si>
    <t>0201302762</t>
  </si>
  <si>
    <t>Thôn Vân Lũng - Xã An Khánh - Huyện Hoài Đức - Hà Nội.</t>
  </si>
  <si>
    <t>20/11/2020</t>
  </si>
  <si>
    <t>21/11/2019</t>
  </si>
  <si>
    <t>CÔNG TY TNHH CƠ ĐIỆN LẠNH ĐẠI PHÁT</t>
  </si>
  <si>
    <t>0101346501</t>
  </si>
  <si>
    <t>Hoàn kiếm</t>
  </si>
  <si>
    <t>Số 3, phố Hàng Đậu, Phường Đồng Xuân, Quận Hoàn Kiếm, Thành Phố Hà Nội, Việt Nam.</t>
  </si>
  <si>
    <t>TT Nacencomm 20.11.2019</t>
  </si>
  <si>
    <t>CÔNG TY CỔ PHẦN ĐẦU TƯ VÀ CÔNG NGHỆ Y TẾ HÀ NỘI</t>
  </si>
  <si>
    <t>Số nhà 87, ngõ 649/77/77, đường Lĩnh Nam - Phường Lĩnh Nam - Quận Hoàng Mai - Hà Nội</t>
  </si>
  <si>
    <t xml:space="preserve"> 0106064740</t>
  </si>
  <si>
    <t>Chị Trang: '0912881939</t>
  </si>
  <si>
    <t>Vũ Thị Thu Hoài</t>
  </si>
  <si>
    <t>Ca2-eI10.000</t>
  </si>
  <si>
    <t>Chúc liên hệ</t>
  </si>
  <si>
    <t>Đỗ Thế Toản</t>
  </si>
  <si>
    <t xml:space="preserve"> 0108900246</t>
  </si>
  <si>
    <t>Thôn An Thọ, - Xã An Khánh - Huyện Hoài Đức - Hà Nội.</t>
  </si>
  <si>
    <t>Anh Hung An Khánh</t>
  </si>
  <si>
    <t>TT Nacemcomm 22/11</t>
  </si>
  <si>
    <t>TT Nacencomm 18.11</t>
  </si>
  <si>
    <t>TT Nacencomm 21.11.2019</t>
  </si>
  <si>
    <t>CK Nacecomm 12.11.2019</t>
  </si>
  <si>
    <t>CK Nacencomm 15.11.2019</t>
  </si>
  <si>
    <t>TT Nacencomm 6.11.2019</t>
  </si>
  <si>
    <t>CKNacencomm</t>
  </si>
  <si>
    <t>25/11/2019</t>
  </si>
  <si>
    <t>CÔNG TY TNHH THƯƠNG MẠI VÀ XÂY DỰNG LÊ PHƯỢNG</t>
  </si>
  <si>
    <t>0201990822</t>
  </si>
  <si>
    <t>Số 85 Trần Khánh Dư, - Phường Máy Tơ - Quận Ngô Quyền - Hải Phòng.</t>
  </si>
  <si>
    <t>CÔNG TY TNHH DƯỢC PHẨM H.I.K.I.D</t>
  </si>
  <si>
    <t>0102024708</t>
  </si>
  <si>
    <t>Số 229, phố Tây Sơn - Phường Ngã Tư Sở - Quận Đống đa - Hà Nội.</t>
  </si>
  <si>
    <t>CÔNG TY TNHH ĐẦU TƯ THIẾT KẾ XÂY DỰNG HÒA BÌNH</t>
  </si>
  <si>
    <t>Số nhà 11, Ngõ 100/20 phố Tây Sơn - Phường Quang Trung - Quận Đống đa - Hà Nội.</t>
  </si>
  <si>
    <t>0106613782</t>
  </si>
  <si>
    <t>Tuyết: 0379895039</t>
  </si>
  <si>
    <t>matsangtrong@gmail.com</t>
  </si>
  <si>
    <t>Ca-ei10.000</t>
  </si>
  <si>
    <t>CK CB Thuế</t>
  </si>
  <si>
    <t>Chị Loan</t>
  </si>
  <si>
    <t>TT Nacencomm 27.11.2019</t>
  </si>
  <si>
    <t>27/11/2019</t>
  </si>
  <si>
    <t>26/11/2019</t>
  </si>
  <si>
    <t>Số 182 Xuân Diệu - Phường Quảng An - Quận Tây Hồ - Hà Nội.</t>
  </si>
  <si>
    <t>26/11/2022</t>
  </si>
  <si>
    <t>CÔNG TY TNHH NỘI THẤT VÀ KIẾN TRÚC DELUXY HOME</t>
  </si>
  <si>
    <t>Số 10, ngõ 195 đường Tây Mỗ, - Phường Đại Mỗ - Quận Nam Từ Liêm - Hà Nội.</t>
  </si>
  <si>
    <t>0108984616</t>
  </si>
  <si>
    <t>27/11/2022</t>
  </si>
  <si>
    <t>TRƯỜNG MẦM NON CẨM VÂN</t>
  </si>
  <si>
    <t>K442/H35/1 Hoàng Diệu - Phường Bình Thuận - Quận Hải Châu - Đà Nẵng.</t>
  </si>
  <si>
    <t>0401286645</t>
  </si>
  <si>
    <t>CÔNG TY CỔ PHẦN Y DƯỢC BM VIỆT NAM</t>
  </si>
  <si>
    <t>0104134657</t>
  </si>
  <si>
    <t>Số 16 Lương Thế Vinh - Phường Trung Văn - Quận Nam Từ Liêm - Hà Nội.</t>
  </si>
  <si>
    <t>Chị Hoài: 0904616466</t>
  </si>
  <si>
    <t>hoai.kbis@gmail.com    ytebmvietnam@gmail.com</t>
  </si>
  <si>
    <t>28/11/2019</t>
  </si>
  <si>
    <t>CÔNG TY TRÁCH NHIỆM HỮU HẠN Y TẾ AMTIC</t>
  </si>
  <si>
    <t>Trang Nacencomm</t>
  </si>
  <si>
    <t>Số 17 biệt thự 2, khu đô thị Trung Văn - Phường Trung Văn - Quận Nam Từ Liêm - Hà Nội.</t>
  </si>
  <si>
    <t>0104237839</t>
  </si>
  <si>
    <t>Trang</t>
  </si>
  <si>
    <t>hangnt1010@gmail.com</t>
  </si>
  <si>
    <t>29/11/2019</t>
  </si>
  <si>
    <t>CÔNG TY CỔ PHẦN EID</t>
  </si>
  <si>
    <t>0107345078</t>
  </si>
  <si>
    <t>Số 47-TT4, khu đô thị Mỹ Đình- Mễ Trì - Phường Mỹ Đình 1 - Quận Nam Từ Liêm - Hà Nội.</t>
  </si>
  <si>
    <t>Thắng:'0981515961</t>
  </si>
  <si>
    <t>Nguyenthangaof@gmail.com</t>
  </si>
  <si>
    <t>CÔNG TY CỔ PHẦN ĐẦU TƯ VÀ PHÁT TRIỂN DU LỊCH BIỂN ĐẢO</t>
  </si>
  <si>
    <t>0107493044</t>
  </si>
  <si>
    <t>CÔNG TY TNHH FOREST TECH VIỆT NAM</t>
  </si>
  <si>
    <t>0108083682</t>
  </si>
  <si>
    <t>Số 1A/21/1333 Giải Phóng - Phường Hoàng Liệt - Quận Hoàng Mai - Hà Nội.</t>
  </si>
  <si>
    <t>Anh Tiến: '0904779574</t>
  </si>
  <si>
    <t>Đỗ Thị Hiền</t>
  </si>
  <si>
    <t>CÔNG TY CỔ PHẦN TRIAX VIỆT NAM</t>
  </si>
  <si>
    <t>0105884797</t>
  </si>
  <si>
    <t>Số 40 tổ 45B - Phường Phương Liên - Quận Đống đa - Hà Nội.</t>
  </si>
  <si>
    <t>CÔNG TY TNHH JYJ</t>
  </si>
  <si>
    <t xml:space="preserve"> 4001193312</t>
  </si>
  <si>
    <t>Hội An</t>
  </si>
  <si>
    <t>Khối Sơn Phô I, - Phường Cẩm Châu - Thành phố Hội An - Quảng Nam.</t>
  </si>
  <si>
    <t>CÔNG TY CỔ PHẦN THƯƠNG MẠI TÂN ĐỊNH</t>
  </si>
  <si>
    <t>0104918468</t>
  </si>
  <si>
    <t>số 46 Quán Sứ - Phường Hàng Bông - Quận Hoàn Kiếm - Hà Nội.</t>
  </si>
  <si>
    <t>CÔNG TY CỔ PHẦN ĐẦU TƯ VÀ PHÁT TRIỂN AN PHÁT</t>
  </si>
  <si>
    <t>0101906584</t>
  </si>
  <si>
    <t>Số nhà 27, ngõ 46, phố Đặng Văn Ngữ - Phường Phương Liên - Quận Đống đa - Hà Nội.</t>
  </si>
  <si>
    <t xml:space="preserve"> CÔNG TY TNHH THƯƠNG MẠI VÀ XÂY DỰNG ĐỨC CƯỜNG</t>
  </si>
  <si>
    <t>Số nhà 62, ngõ 15, phố Phương Mai - Phường Phương Mai - Quận Đống đa - Hà Nội.</t>
  </si>
  <si>
    <t>0101686811</t>
  </si>
  <si>
    <t>CÔNG TY CỔ PHẦN XUẤT NHẬP KHẨU THƯƠNG MẠI VÀ XÂY DỰNG TÍN ĐỨC</t>
  </si>
  <si>
    <t xml:space="preserve"> Số nhà 129 phố Ga - Thị trấn Thường Tín - Huyện Thường Tín - Hà Nội.</t>
  </si>
  <si>
    <t>0103950719</t>
  </si>
  <si>
    <t>CÔNG TY CỔ PHẦN THƯƠNG MẠI VÀ ĐẦU TƯ XÂY DỰNG TÂN HỒNG HÀ</t>
  </si>
  <si>
    <t>Tầng 10, tòa nhà Bắc á, số 9 Đào Duy Anh - Phường Phương Liên - Quận Đống đa - Hà Nội.</t>
  </si>
  <si>
    <t>Đã thanh toán</t>
  </si>
  <si>
    <t>CÔNG TY TNHH THƯƠNG MẠI TỔNG HỢP CÁT LINH</t>
  </si>
  <si>
    <t xml:space="preserve"> 0107633220</t>
  </si>
  <si>
    <t>Số 34 ngách 168/1 phố Hào Nam - Phường ô Chợ Dừa - Quận Đống đa - Hà Nội.</t>
  </si>
  <si>
    <t xml:space="preserve">Chị Oanh: </t>
  </si>
  <si>
    <t>CA2-extra</t>
  </si>
  <si>
    <t xml:space="preserve"> CÔNG TY CỔ PHẦN XÂY DỰNG VÀ ĐẦU TƯ PHÁT TRIỂN HẠ TẦNG VIỆT NAM</t>
  </si>
  <si>
    <t>0106037271</t>
  </si>
  <si>
    <t>Số nhà 37, phố Thiên Hiền - Phường Mỹ Đình 1 - Quận Nam Từ Liêm - Hà Nội.</t>
  </si>
  <si>
    <t xml:space="preserve"> CÔNG TY CP TƯ VẤN GIẢI PHÁP Y TẾ VÀ CÔNG NGHỆ 4T</t>
  </si>
  <si>
    <t>0107405841</t>
  </si>
  <si>
    <t>Nhà số 1, ngách 52, ngõ 420, đường Kim Giang - Phường Đại Kim - Quận Hoàng Mai - Hà Nội.</t>
  </si>
  <si>
    <t>vanminhngoc178@gmail.com</t>
  </si>
  <si>
    <t>Minh Ngọc: 0988571168</t>
  </si>
  <si>
    <t>Mai Bảo Ngọc</t>
  </si>
  <si>
    <t>CÔNG TY CỔ PHẦN KỸ THUẬT CƠ ĐIỆN VÀ ĐẦU TƯ HẠ TẦNG</t>
  </si>
  <si>
    <t>0104357205</t>
  </si>
  <si>
    <t>Phòng 716, Nơ 5, khu đô thị Pháp Vân - Tứ Hiệp - Phường Hoàng Liệt - Quận Hoàng Mai - Hà Nội.</t>
  </si>
  <si>
    <t>Mocthao247@gmail.com</t>
  </si>
  <si>
    <t>Thảo: 0915676093</t>
  </si>
  <si>
    <t>Nguyễn Đức Chiến</t>
  </si>
  <si>
    <t>CÔNG TY TNHH THƯƠNG MẠI VÀ DỊCH VỤ Ô TÔ NHẬT PHÁT</t>
  </si>
  <si>
    <t>0106305812</t>
  </si>
  <si>
    <t>Số nhà 49, ngách 6/15, phố Đặng Văn Ngữ - Phường Phương Liên - Quận Đống đa - Hà Nội.</t>
  </si>
  <si>
    <t>Đinh Cẩm Vân</t>
  </si>
  <si>
    <t>CÔNG TY CỔ PHẦN VĂN HOÁ GIÁO DỤC WORLDLINK</t>
  </si>
  <si>
    <t>0105133166</t>
  </si>
  <si>
    <t>Số 175 Trần Đại Nghĩa - Phường Bách Khoa - Quận Hai Bà Trưng - Hà Nội.</t>
  </si>
  <si>
    <t>Tạ Thị Hoa</t>
  </si>
  <si>
    <t>0103559706</t>
  </si>
  <si>
    <t>CÔNG TY CỔ PHẦN SẢN XUẤT VÀ KINH DOANH NAM VIỆT</t>
  </si>
  <si>
    <t>Số 34 lô F khu tái định cư X1 Pháp Vân, P.Hoàng Liệt - - Quận Hoàng Mai - Hà Nội.</t>
  </si>
  <si>
    <t>buithuyan868@gmail.com</t>
  </si>
  <si>
    <t>Thúy 0977480281</t>
  </si>
  <si>
    <t>Bùi Phương Thuý</t>
  </si>
  <si>
    <t>Cty anh Hoàng - Quỳnh</t>
  </si>
  <si>
    <t xml:space="preserve"> CÔNG TY TNHH TƯ VẤN TÀI CHÍNH THĂNG LONG</t>
  </si>
  <si>
    <t>Chị Hiền</t>
  </si>
  <si>
    <t>0102034304</t>
  </si>
  <si>
    <t>Số nhà 29, Biệt thự 2, Bắc Linh Đàm - Phường Đại Kim - Quận Hoàng Mai - Hà Nội.</t>
  </si>
  <si>
    <t>ngockiemtoan2016@gmail.com</t>
  </si>
  <si>
    <t>Ngọc</t>
  </si>
  <si>
    <t>Lê Khắc Hiệp</t>
  </si>
  <si>
    <t xml:space="preserve"> '0307819328</t>
  </si>
  <si>
    <t>CÔNG TY CỔ PHẦN TỔNG CÔNG TY THAT - HTELECOM</t>
  </si>
  <si>
    <t>39 Lương Hữu Khánh - Phường Phạm Ngũ Lão - Quận 1 - TP Hồ Chí Minh.</t>
  </si>
  <si>
    <t>Quận 1</t>
  </si>
  <si>
    <t>locntct55@gmail.com</t>
  </si>
  <si>
    <t>Lộc: 0914744486</t>
  </si>
  <si>
    <t>CÔNG TY CỔ PHẦN DU LỊCH DỊCH VỤ THƯƠNG MẠI CHA</t>
  </si>
  <si>
    <t>Số 29 Bùi Xuân Phái - Phường Thuận Phước - Quận Hải Châu - Đà Nẵng.</t>
  </si>
  <si>
    <t xml:space="preserve"> 0401908399</t>
  </si>
  <si>
    <t>thuynguyenct55@gmail.com</t>
  </si>
  <si>
    <t>Thuy nguyen - TRA</t>
  </si>
  <si>
    <t>CK cho Long</t>
  </si>
  <si>
    <t>hủy</t>
  </si>
  <si>
    <t>0107924903</t>
  </si>
  <si>
    <t>Nhà số 7, ngõ 43 phố Xã Đàn - Phường Phương Liên - Quận Đống đa - Hà Nội.</t>
  </si>
  <si>
    <t>anz.thanhtran@gmail.com</t>
  </si>
  <si>
    <t>CÔNG TY CỔ PHẦN WINTECH</t>
  </si>
  <si>
    <t>Số 7, ngách 85, ngõ 168, đường Kim Giang - Phường Đại Kim - Quận Hoàng Mai - Hà Nội.</t>
  </si>
  <si>
    <t>Hường: 0984602146</t>
  </si>
  <si>
    <t>tuyen.nguyenthi@wintech.vn</t>
  </si>
  <si>
    <t>0104637844</t>
  </si>
  <si>
    <t>Mai Thế Chiến</t>
  </si>
  <si>
    <t>CÔNG TY CỔ PHẦN ĐẦU TƯ VÀ DỊCH VỤ THƯƠNG MẠI ĐẠI VIỆT</t>
  </si>
  <si>
    <t xml:space="preserve"> 0103688885</t>
  </si>
  <si>
    <t>Hoài Thanh</t>
  </si>
  <si>
    <t>Số 1012, Nơ 19, khu đô thị Pháp Vân - Phường Hoàng Liệt - Quận Hoàng Mai - Hà Nội.</t>
  </si>
  <si>
    <t>thanh_nguyenhoai1906@yahoo.com</t>
  </si>
  <si>
    <t>Nguyễn Thị Hồng Hải</t>
  </si>
  <si>
    <t xml:space="preserve"> ' 0108651737</t>
  </si>
  <si>
    <t>Sô 28, ngõ 3, xóm Bờ Hội - Phường La Khê - Quận Hà Đông - Hà Nội.</t>
  </si>
  <si>
    <t>Chị Giang: 0984908857</t>
  </si>
  <si>
    <t>CÔNG TY CỔ PHẦN TỔNG CÔNG TY HISTORY VIỆT</t>
  </si>
  <si>
    <t>0400805707</t>
  </si>
  <si>
    <t>Số 01 Nguyễn Văn Linh - Phường Bình Hiên - Quận Hải Châu - Đà Nẵng.</t>
  </si>
  <si>
    <t>Thủy History</t>
  </si>
  <si>
    <t>maintn@thatgroup.com.vn</t>
  </si>
  <si>
    <t>Thanh toán Nacencomm</t>
  </si>
  <si>
    <t>0108943433</t>
  </si>
  <si>
    <t>CÔNG TY CỔ PHẦN CIGO VIỆT NAM</t>
  </si>
  <si>
    <t>Số 7, ngách 33/15, phố Nguyễn An Ninh, tổ 20 - Phường Tương Mai - Quận Hoàng Mai - Hà Nội.</t>
  </si>
  <si>
    <t>0938198698
0912821948</t>
  </si>
  <si>
    <t xml:space="preserve"> CÔNG TY TNHH SÁNG TẠO AKADEMY</t>
  </si>
  <si>
    <t>0105836384</t>
  </si>
  <si>
    <t>Số 36, ngách 46A/1, ngõ 46A Phạm Ngọc Thạch - Phường Phương Liên - Quận Đống đa - Hà Nội.</t>
  </si>
  <si>
    <t>CÔNG TY CỔ PHẦN ĐỊA CHẤT VÀ KHOÁNG SẢN CÔNG NGHIỆP VIỆT NAM</t>
  </si>
  <si>
    <t xml:space="preserve">Đống Đa </t>
  </si>
  <si>
    <t>0102760955</t>
  </si>
  <si>
    <t>Số 109C, ngõ 74/3 đường Trường Chinh - Phường Phương Mai - Quận Đống đa - Hà Nội.</t>
  </si>
  <si>
    <t xml:space="preserve"> CÔNG TY CỔ PHẦN TỔNG HỢP VIỆT THÁI</t>
  </si>
  <si>
    <t>0105658808</t>
  </si>
  <si>
    <t>Chiị Dung Đống Đa</t>
  </si>
  <si>
    <t>CÔNG TY TNHH TÀI NGUYÊN VÀ MÔI TRƯỜNG 286</t>
  </si>
  <si>
    <t>0107373269</t>
  </si>
  <si>
    <t xml:space="preserve">
CÔNG TY CỔ PHẦN ĐẦU TƯ VÀ XÂY DỰNG BẠCH HẠC</t>
  </si>
  <si>
    <t>0106441149</t>
  </si>
  <si>
    <t>anh Thịnh 0902104220</t>
  </si>
  <si>
    <t>CÔNG TY TNHH ĐẦU TƯ SẢN XUẤT VÀ THƯƠNG MẠI PHÚ GIA</t>
  </si>
  <si>
    <t>0107151530</t>
  </si>
  <si>
    <t>Thanh Thảo Phú Gia</t>
  </si>
  <si>
    <t>CK Khaách 500K</t>
  </si>
  <si>
    <t>CÔNG TY TNHH THÚY HẰNG</t>
  </si>
  <si>
    <t>0400476178</t>
  </si>
  <si>
    <t>CÔNG TY CỔ PHẦN XÂY LẮP GERVICO</t>
  </si>
  <si>
    <t>0105539342</t>
  </si>
  <si>
    <t>CHI NHANH CÔNG TY TNHH HƯNG PHÚ TẠI HÀ NỘI</t>
  </si>
  <si>
    <t>TT Nacencomm 05.12.2019</t>
  </si>
  <si>
    <t>TT Nacencomm  19.11.2019</t>
  </si>
  <si>
    <t>TT Nacencomm 15.11.2019</t>
  </si>
  <si>
    <t>TT Nacencomm 09.12.2019</t>
  </si>
  <si>
    <t>Cty TNHH Kim Quang Minh (chưa làm)</t>
  </si>
  <si>
    <t xml:space="preserve">Công Ty TNHH XD &amp; SX TM Trường Giang </t>
  </si>
  <si>
    <t>0102283357</t>
  </si>
  <si>
    <t>Chị Tâm: '0986098897</t>
  </si>
  <si>
    <t>22/11/2019</t>
  </si>
  <si>
    <t>CÔNG TY CỔ PHẦN TƯ VẤN XÂY DỰNG VÀ CHUYỂN GIAO CÔNG NGHỆ SÔNG HỒNG</t>
  </si>
  <si>
    <t>0101542721</t>
  </si>
  <si>
    <t>Chị Hiền: '0973379965</t>
  </si>
  <si>
    <t>Chị Vân Thuế Đống Đa</t>
  </si>
  <si>
    <t>Chi Tú thuế Đống Đa</t>
  </si>
  <si>
    <t>Của chị Tú</t>
  </si>
  <si>
    <t>0976098680</t>
  </si>
  <si>
    <t>Chị Đông '0983433309</t>
  </si>
  <si>
    <t>Chị Thủy tự làm</t>
  </si>
  <si>
    <t>Chị Thủy 0904558320</t>
  </si>
  <si>
    <t>Chị Nhung '0904868466</t>
  </si>
  <si>
    <t>Chị Hương Chúc tự làm</t>
  </si>
  <si>
    <t>Chị Hương: '0989355890</t>
  </si>
  <si>
    <t>CÔNG TY TNHH THƯƠNG MẠI VÀ DỊCH VỤ CÔNG NGHỆ AZN</t>
  </si>
  <si>
    <t>Chị Hương '0975795115</t>
  </si>
  <si>
    <t>Chị Vân thuế Đống Đa</t>
  </si>
  <si>
    <t>Chị Nhung '0904999908</t>
  </si>
  <si>
    <t>Chị Dung thuế Đống Đa</t>
  </si>
  <si>
    <t>Anh Huề '0982318186</t>
  </si>
  <si>
    <t>0700258519-001</t>
  </si>
  <si>
    <t>17BT3, KĐT Pháp Vân- Tứ Hiệp - Phường Hoàng Liệt - Quận Hoàng Mai - Hà Nội</t>
  </si>
  <si>
    <t>Oanh</t>
  </si>
  <si>
    <t>CÔNG TY CỔ PHẦN KHO VẬN VÀ DỊCH VỤ THƯƠNG MẠI</t>
  </si>
  <si>
    <t>Số 473, phố Minh Khai - Phường Vĩnh Tuy - Quận Hai Bà Trưng - Hà Nội.</t>
  </si>
  <si>
    <t>0100107691</t>
  </si>
  <si>
    <t>0903245074 Anh Tân</t>
  </si>
  <si>
    <t>Công Ty Bảo Hiểm PVI Hà Thành</t>
  </si>
  <si>
    <t>0105402531-032</t>
  </si>
  <si>
    <t>Tầng 10, Tòa nhà CTM Complex 139 Cầu Giấy - Phường Quan Hoa - Quận Cầu Giấy - Hà Nội.</t>
  </si>
  <si>
    <t>0382311833 Chị Huyền</t>
  </si>
  <si>
    <t>CÔNG TY TNHH THƯƠNG MẠI VÀ THIẾT BỊ VĂN PHÒNG BÌNH MINH</t>
  </si>
  <si>
    <t>0104506898</t>
  </si>
  <si>
    <t>Thôn Dược Thượng - Xã Tiên Dược - Huyện Sóc Sơn - Hà Nội.</t>
  </si>
  <si>
    <t>0942368222 - c mai</t>
  </si>
  <si>
    <t>CK khách 700K</t>
  </si>
  <si>
    <t>CN CÔNG TY CP VẬN TẢI BIỂN VINASHIP TẠI QUẢNG NINH</t>
  </si>
  <si>
    <t>0200119965-002</t>
  </si>
  <si>
    <t>Số 73, đường Lê Thánh Tông - Phường Hồng Gai - Thành phố Hạ Long - Quảng Ninh.</t>
  </si>
  <si>
    <t>0985 808228 Anh Toàn</t>
  </si>
  <si>
    <t>CÔNG TY CỔ PHẦN TIẾN PHONG VIỆT NAM</t>
  </si>
  <si>
    <t>0105121107</t>
  </si>
  <si>
    <t>Ngõ Ngòi, Thôn Hạnh - Phường Tây Mỗ - Quận Nam Từ Liêm - Hà Nội.</t>
  </si>
  <si>
    <t>Anh Hội: '0975.136.073</t>
  </si>
  <si>
    <t>HỢP TÁC XÃ VẬN TẢI SỐ 7</t>
  </si>
  <si>
    <t>0102763226</t>
  </si>
  <si>
    <t>CÔNG TY CỔ PHẦN THIẾT BỊ PETECO VIỆT NAM</t>
  </si>
  <si>
    <t>Lô TT2, Dãy A, ô số 10 Bắc Linh Đàm - Phường Đại Kim - Quận Hoàng Mai - Hà Nội.</t>
  </si>
  <si>
    <t>Bui Hà</t>
  </si>
  <si>
    <t>ha.bt@peteco.com.vn</t>
  </si>
  <si>
    <t xml:space="preserve"> Cao Anh Tuấn</t>
  </si>
  <si>
    <t xml:space="preserve"> CÔNG TY TNHH THỂ THAO MINH PHÚ</t>
  </si>
  <si>
    <t>Số 1, tổ 22 - Phường Phương Liên - Quận Đống đa - Hà Nội.</t>
  </si>
  <si>
    <t>0105811982</t>
  </si>
  <si>
    <t>CÔNG TY TNHH ĐẦU TƯ VÀ THƯƠNG MẠI HÙNG VƯƠNG</t>
  </si>
  <si>
    <t>0102709275</t>
  </si>
  <si>
    <t xml:space="preserve"> 102 Xã Đàn - Phường Phương Liên - Quận Đống đa - Hà Nội.</t>
  </si>
  <si>
    <t>0107332054</t>
  </si>
  <si>
    <t xml:space="preserve"> CÔNG TY TNHH THƯƠNG MẠI VÀ DU LỊCH TÍN PHÁT</t>
  </si>
  <si>
    <t>Số 7 hẻm 6/31/7 phố Đặng Văn Ngữ - Phường Phương Liên - Quận Đống đa - Hà Nội.</t>
  </si>
  <si>
    <t>11/12/2021.</t>
  </si>
  <si>
    <t>14/12/2021.</t>
  </si>
  <si>
    <t>22/12/2020.</t>
  </si>
  <si>
    <t>27/12/2022.</t>
  </si>
  <si>
    <t>TT Nacencomm 11.12.2019</t>
  </si>
  <si>
    <t>0106351738</t>
  </si>
  <si>
    <t>Chị Huyền</t>
  </si>
  <si>
    <t>CÔNG TY TNHH SẢN XUẤT VÀ KINH DOANH MINH ANH</t>
  </si>
  <si>
    <t>Số 404, đường Kim Giang - Phường Đại Kim - Quận Hoàng Mai - Hà Nội.</t>
  </si>
  <si>
    <t>Trần Thị Thanh Nga</t>
  </si>
  <si>
    <t>0107334904</t>
  </si>
  <si>
    <t>VĂN PHÒNG LUẬT SƯ LÊ LONG</t>
  </si>
  <si>
    <t>Phòng 2512 - CT12A Kim Văn - Kim Lũ - Phường Đại Kim - Quận Hoàng Mai - Hà Nội.</t>
  </si>
  <si>
    <t>Lê Văn Long</t>
  </si>
  <si>
    <t>0105541422</t>
  </si>
  <si>
    <t>CÔNG TY CỔ PHẦN TƯ VẤN XÂY DỰNG DHC</t>
  </si>
  <si>
    <t>Lương</t>
  </si>
  <si>
    <t>Số nhà 46 ngõ 205 Định Công Thượng - Phường Định Công - Quận Hoàng Mai - Hà Nội.</t>
  </si>
  <si>
    <t>Ngô Mạnh Cường</t>
  </si>
  <si>
    <t>lương: 0972726765</t>
  </si>
  <si>
    <t>caoluongly@gmail.com</t>
  </si>
  <si>
    <t>CÔNG TY CỔ PHẦN THƯƠNG MẠI VÀ ĐẦU TƯ PHÚC HẢI</t>
  </si>
  <si>
    <t xml:space="preserve"> 0101509587</t>
  </si>
  <si>
    <t>Số 209 H9A phường Phương Mai - Phường Phương Mai - Quận Đống đa - Hà Nội.</t>
  </si>
  <si>
    <t>0107456370</t>
  </si>
  <si>
    <t>CÔNG TY TNHH DỊCH VỤ VÀ DU LỊCH HẢI VÂN XANH</t>
  </si>
  <si>
    <t>Số 54, ngách 70, ngõ 102, Trường Chinh - Phường Phương Mai - Quận Đống đa - Hà Nội.</t>
  </si>
  <si>
    <t>Lô 13BT2, khu đô thị mới Pháp Vân - Phường Hoàng Liệt - Quận Hoàng Mai - Hà Nội.</t>
  </si>
  <si>
    <t>CHI NHÁNH CÔNG TY TNHH HƯNG PHÚ TẠI HÀ NỘI</t>
  </si>
  <si>
    <t>17BT3, KĐT Pháp Vân- Tứ Hiệp - Phường Hoàng Liệt - Quận Hoàng Mai - Hà Nội.</t>
  </si>
  <si>
    <t xml:space="preserve"> CÔNG TY TNHH MINH TRIẾT HÒA</t>
  </si>
  <si>
    <t>0107369209</t>
  </si>
  <si>
    <t>Số 4, ngách 102/70, ngõ 102, đường Trường Chinh - Phường Phương Mai - Quận Đống đa - Hà Nội.</t>
  </si>
  <si>
    <t>CÔNG TY TNHH MDL VIỆT NAM</t>
  </si>
  <si>
    <t>Số nhà 33, ngõ 77 đường Đặng Xuân Bảng, KĐT Bắc Linh Đàm - Phường Đại Kim - Quận Hoàng Mai -
Hà Nội</t>
  </si>
  <si>
    <t>0108226789</t>
  </si>
  <si>
    <t>Vũ Văn Đăng</t>
  </si>
  <si>
    <t>Chị Dung MDL</t>
  </si>
  <si>
    <t>CÔNG TY CỔ PHẦN ĐÀO TẠO NĂNG LỰC VIỆT GROWTH
CATALYST</t>
  </si>
  <si>
    <t>0106345325</t>
  </si>
  <si>
    <t>Lô TT2, dãy A, ô 10, Bắc Linh Đàm, Phường Đại Kim, Quận Hoàng Mai, Thành Phố Hà Nội, Việt Nam.</t>
  </si>
  <si>
    <t>Buùi Yến Năng lực việt</t>
  </si>
  <si>
    <t>Đỗ Thị Thanh Tâm</t>
  </si>
  <si>
    <t>13/12/2019</t>
  </si>
  <si>
    <t>CÔNG TY CỔ PHẦN PHÁT TRIỂN HẠ TẦNG VÀ XÂY DỰNG HANCO</t>
  </si>
  <si>
    <t>0104388789</t>
  </si>
  <si>
    <t>Chị Vân  thuế Đống Đa</t>
  </si>
  <si>
    <t>37 Đê La Thành - Phường Phương Liên - Quận Đống đa - Hà Nội.</t>
  </si>
  <si>
    <t>CÔNG TY TNHH THƯƠNG MẠI, DỊCH VỤ VÀ DU LỊCH HUYỀN NGA</t>
  </si>
  <si>
    <t>0101412592</t>
  </si>
  <si>
    <t>Số 2 đường Trường Chinh, phường Phương Mai - Phường Phương Mai - Quận Đống đa - Hà Nội.</t>
  </si>
  <si>
    <t>CÔNG TY CỔ PHẦN ĐẦU TƯ VÀ PHÁT TRIỂN DNA VIỆT NAM</t>
  </si>
  <si>
    <t>0107506543</t>
  </si>
  <si>
    <t>Số 33, ngõ 649, đường Lĩnh Nam - Phường Lĩnh Nam - Quận Hoàng Mai - Hà Nội.</t>
  </si>
  <si>
    <t xml:space="preserve"> CÔNG TY TNHH ĐẦU TƯ XÂY DỰNG VÀ THƯƠNG MẠI SKY VIỆT NAM</t>
  </si>
  <si>
    <t xml:space="preserve"> 0108391292</t>
  </si>
  <si>
    <t>Số 83, ngõ 219 Định Công Thượng - Phường Định Công - Quận Hoàng Mai - Hà Nội.</t>
  </si>
  <si>
    <t>Số 33, ngõ 15, ngách 51 đường Ngọc Hồi - Phường Hoàng Liệt - Quận Hoàng Mai - Hà Nội.</t>
  </si>
  <si>
    <t xml:space="preserve"> 0106442128</t>
  </si>
  <si>
    <t>Số 33 ngõ 649 Đường Lĩnh Nam - Phường Lĩnh Nam - Quận Hoàng Mai - Hà Nội.</t>
  </si>
  <si>
    <t>CÔNG TY TNHH KỸ THUẬT QME - 2T CORPORATION</t>
  </si>
  <si>
    <t>0109005824</t>
  </si>
  <si>
    <t>Số 9 Phạm Văn Đồng - Phường Mai Dịch - Quận Cầu Giấy - Hà Nội.</t>
  </si>
  <si>
    <t>2700835664</t>
  </si>
  <si>
    <t>0334681035</t>
  </si>
  <si>
    <t>CÔNG TY CỔ PHẦN CƠ ĐIỆN LẠNH THĂNG LONG</t>
  </si>
  <si>
    <t>Số 130, tổ 14, đường K2 - Phường Cầu Diễn - Quận Nam Từ Liêm - Hà Nội.</t>
  </si>
  <si>
    <t>0102321122</t>
  </si>
  <si>
    <t>Chị Hồng: 036 3770446</t>
  </si>
  <si>
    <t>CÔNG TY TNHH SẢN XUẤT VÀ THƯƠNG MẠI CƠ ĐIỆN LẠNH THĂNG LONG</t>
  </si>
  <si>
    <t>0108155739</t>
  </si>
  <si>
    <t>Thanh Oai</t>
  </si>
  <si>
    <t>Cụm công nghiệp B - Xã Bích Hòa - Huyện Thanh Oai - Hà Nội.</t>
  </si>
  <si>
    <t>CÔNG TY CỔ PHẦN CÔNG NGHỆ AMEC</t>
  </si>
  <si>
    <t>0104778965</t>
  </si>
  <si>
    <t>X1 lô 37+38 Khu tái định cư Pháp Vân - Phường Hoàng Liệt - Quận Hoàng Mai - Hà Nội.</t>
  </si>
  <si>
    <t>anh Tùng</t>
  </si>
  <si>
    <t>Bích Amec</t>
  </si>
  <si>
    <t>ngocbich21@gmail.com</t>
  </si>
  <si>
    <t>Phạm Quang Tùng</t>
  </si>
  <si>
    <t>14/12/2019</t>
  </si>
  <si>
    <t xml:space="preserve"> CÔNG TY CỔ PHẦN SÁCH VÀ THIẾT BỊ GIÁO DỤC TRẦN GIA</t>
  </si>
  <si>
    <t xml:space="preserve"> 0106135543</t>
  </si>
  <si>
    <t>Số 1 ngõ 6 Đặng Văn Ngữ - Phường Phương Liên - Quận Đống đa - Hà Nội.</t>
  </si>
  <si>
    <t>CÔNG TY CỔ PHẦN DỰ ÁN THIÊN MINH</t>
  </si>
  <si>
    <t xml:space="preserve"> 0103864650</t>
  </si>
  <si>
    <t>Tầng 3, số 15 Lô B, Khu đô thị mới Đại Kim - Định Công, đườ - Phường Đại Kim - Quận Hoàng Mai - Hà Nội.</t>
  </si>
  <si>
    <t xml:space="preserve"> Mai Quốc Văn</t>
  </si>
  <si>
    <t>CÔNG TY TNHH HẢI DƯƠNG</t>
  </si>
  <si>
    <t>0100779485</t>
  </si>
  <si>
    <t xml:space="preserve"> 14/1 Đào Duy Anh - Phường Phương Liên - Quận Đống đa - Hà Nội.</t>
  </si>
  <si>
    <t>0107359313</t>
  </si>
  <si>
    <t>CÔNG TY CỔ PHẦN ECOMEC VIỆT NAM</t>
  </si>
  <si>
    <t>Số 230 - C5, khu đô thị mới Đại Kim - Phường Đại Kim - Quận Hoàng Mai - Hà Nội.</t>
  </si>
  <si>
    <t>Nguyễn Thị Tuyết Mai</t>
  </si>
  <si>
    <t>CÔNG TY CỔ PHẦN ĐẦU TƯ XÂY DỰNG SẢN XUẤT VÀ THƯƠNG MẠI MINH ĐỨC</t>
  </si>
  <si>
    <t xml:space="preserve"> 0103237628</t>
  </si>
  <si>
    <t>Tầng 2, Số 85 D6, Khu đô thị mới Đại Kim - Phường Đại Kim - Quận Hoàng Mai - Hà Nội.</t>
  </si>
  <si>
    <t>Trần ích Tiến</t>
  </si>
  <si>
    <t>CÔNG TY CỔ PHẦN ĐẦU TƯ THƯƠNG MẠI QUỐC TẾ THIÊN TRƯỜNG</t>
  </si>
  <si>
    <t>0106318353</t>
  </si>
  <si>
    <t>Số nhà 293 Phố Chợ Khâm Thiên - Phường Phương Liên - Quận Đống đa - Hà Nội.</t>
  </si>
  <si>
    <t>TT Nacencomm 700K</t>
  </si>
  <si>
    <t>16/12/2019</t>
  </si>
  <si>
    <t>TRƯỜNG TRUNG HỌC CƠ SỞ TÂY SƠN</t>
  </si>
  <si>
    <t>0401290539</t>
  </si>
  <si>
    <t>149 Núi Thành - - Quận Hải Châu - Đà Nẵng.</t>
  </si>
  <si>
    <t>16/12/2022</t>
  </si>
  <si>
    <t>17/12/2019</t>
  </si>
  <si>
    <t xml:space="preserve">CÔNG TY TNHH ĐẦU TƯ KINH DOANH ĐẠI AN PHÁT </t>
  </si>
  <si>
    <t>0108370711</t>
  </si>
  <si>
    <t>Số nhà 40, Ngõ 218 Tây Sơn - Phường Trung Liệt - Quận Đống đa - Hà Nội.</t>
  </si>
  <si>
    <t>Chị hương</t>
  </si>
  <si>
    <t>17/12/2020</t>
  </si>
  <si>
    <t>0201787725</t>
  </si>
  <si>
    <t>CÔNG TY TNHH DỊCH VỤ VÀ THƯƠNG MẠI CHÍNH ĐOAN VIỆT NAM</t>
  </si>
  <si>
    <t xml:space="preserve"> CÔNG TY TNHH TƯ VẤN QUẢN TRỊ VŨ DƯ</t>
  </si>
  <si>
    <t>0108549860</t>
  </si>
  <si>
    <t>Số 37 Ngõ 28 Đê La Thành nhỏ - Phường Phương Liên - Quận Đống đa - Hà Nội.</t>
  </si>
  <si>
    <t>0101300401</t>
  </si>
  <si>
    <t>CÔNG TY TNHH KIỂM TOÁN ASNAF VIỆT NAM</t>
  </si>
  <si>
    <t>Chị Ngọc Thăng Long</t>
  </si>
  <si>
    <t>29 biệt thự 2 Bắc Linh Đàm - Phường Đại Kim - Quận Hoàng Mai - Hà Nội.</t>
  </si>
  <si>
    <t>0100832241-003</t>
  </si>
  <si>
    <t>Số 29, BT2, khu đô thị Bắc Linh Đàm - Phường Đại Kim - Quận Hoàng Mai - Hà Nội.</t>
  </si>
  <si>
    <t>CÔNG TY TNHH KIỂM TOÁN VÀ KẾ TOÁN HÀ NỘI - CHI NHÁNH HÀ NỘI</t>
  </si>
  <si>
    <t>CÔNG TY TNHH LH VIỆT NAM</t>
  </si>
  <si>
    <t>0106504705</t>
  </si>
  <si>
    <t>Số 350, đường Tố Hữu, Tổ 4 - Phường La Khê - Quận Hà Đông - Hà Nội.</t>
  </si>
  <si>
    <t>CÔNG TY TNHH KIẾN TRÚC &amp; NỘI THẤT NET VIỆT</t>
  </si>
  <si>
    <t>0106245458</t>
  </si>
  <si>
    <t>Khu 45, tổ dân phố 4 - Phường La Khê - Quận Hà Đông - Hà Nội.</t>
  </si>
  <si>
    <t>CÔNG TY CỔ PHẦN ĐẦU TƯ PHÁT TRIỂN KIM HÒA PHÁT</t>
  </si>
  <si>
    <t>0105185206</t>
  </si>
  <si>
    <t>Số 1A.P22 - Phường Tương Mai - Quận Hoàng Mai - Hà Nội.</t>
  </si>
  <si>
    <t xml:space="preserve"> CÔNG TY CỔ PHẦN PHÁT TRIỂN VIỆT HẢI</t>
  </si>
  <si>
    <t>0107964487</t>
  </si>
  <si>
    <t>Số 40, ngõ 164, phố Vương Thừa Vũ - Phường Khương Trung - Quận Thanh Xuân - Hà Nội.</t>
  </si>
  <si>
    <t>CÔNG TY TNHH KIM QUANG MINH</t>
  </si>
  <si>
    <t>Ba đình</t>
  </si>
  <si>
    <t>Số 58/3, phố Kim Mã - Phường Kim Mã - Quận Ba Đình - Hà Nội.</t>
  </si>
  <si>
    <t>Đã thanh toán Long</t>
  </si>
  <si>
    <t xml:space="preserve"> CÔNG TY TNHH THƯƠNG MẠI AN HƯNG PHÚ</t>
  </si>
  <si>
    <t>0107071130</t>
  </si>
  <si>
    <t>Số 72 B3, khu đô thịmới Đại Kim - Định Công - Phường Đại Kim - Quận Hoàng Mai - Hà Nội.</t>
  </si>
  <si>
    <t>0107723107</t>
  </si>
  <si>
    <t>CÔNG TY CỔ PHẦN HTV - XÂY DỰNG VÀ THƯƠNG MẠI</t>
  </si>
  <si>
    <t xml:space="preserve">Chị Sâm Thuế Đống Đa </t>
  </si>
  <si>
    <t>Số 17 phố Đặng Văn Ngữ, tổ 66A - Phường Trung Tự - Quận Đống đa - Hà Nội.</t>
  </si>
  <si>
    <t>0101325156</t>
  </si>
  <si>
    <t>CÔNG TY CỔ PHẦN ĐÁ GRANITE &amp; MARBLE TỰ NHIÊN THIÊN SƠN</t>
  </si>
  <si>
    <t>Số 85 D6, khu đô thị mới Đại Kim - Phường Đại Kim - Quận Hoàng Mai - Hà Nội.</t>
  </si>
  <si>
    <t xml:space="preserve"> CÔNG TY TNHH XÂY DỰNG VÀ DU LỊCH TIỀN PHONG</t>
  </si>
  <si>
    <t xml:space="preserve"> 0101125492</t>
  </si>
  <si>
    <t>Số 303 đường Đại Mỗ - Phường Đại Mỗ - Quận Nam Từ Liêm - Hà Nội.</t>
  </si>
  <si>
    <t>Chị Giang: '0912210348</t>
  </si>
  <si>
    <t>18/12/2019</t>
  </si>
  <si>
    <t>CÔNG TY TNHH THƯƠNG MẠI HẢI HUY NAM</t>
  </si>
  <si>
    <t>0107748253</t>
  </si>
  <si>
    <t>Số 75 Kim Lũ, tổ 26 - Phường Đại Kim - Quận Hoàng Mai - Hà Nội.</t>
  </si>
  <si>
    <t xml:space="preserve"> 0108474051</t>
  </si>
  <si>
    <t>Tầng 5, toà nhà Tân Hồng Hà Complex số 317 Trường Chinh - Phường Khương Trung - Quận Thanh Xuân - Hà Nội.</t>
  </si>
  <si>
    <t>CÔNG TY CỔ PHẦN HỒNG VẬN</t>
  </si>
  <si>
    <t>Số 12, ngõ 575 Hoàng Hoa Thám - Phường Vĩnh Phúc - Quận Ba Đình - Hà Nội.</t>
  </si>
  <si>
    <t>0104163866</t>
  </si>
  <si>
    <t xml:space="preserve"> CÔNG TY TNHH PHÁT TRIỂN THƯƠNG MẠI VÀ DU LỊCH AN HƯƠNG</t>
  </si>
  <si>
    <t>0106797018</t>
  </si>
  <si>
    <t>Số nhà 32A, phố Lý Nam Đế - Phường Cửa Đông - Quận Hoàn Kiếm - Hà Nội.</t>
  </si>
  <si>
    <t>chị Hiền: 0946195665</t>
  </si>
  <si>
    <t>19/12/2019</t>
  </si>
  <si>
    <t>CÔNG TY CỔ PHẦN VX - TƯ VẤN, ĐẦU TƯ VÀ XÂY DỰNG</t>
  </si>
  <si>
    <t>0102087377</t>
  </si>
  <si>
    <t>P 403, Tòa nhà Ocean Park, Số 1 Đào Duy Anh - Phường Phương Mai - Quận Đống đa - Hà Nội.</t>
  </si>
  <si>
    <t>0102087377-001</t>
  </si>
  <si>
    <t>CHI NHÁNH XÂY LẮP ĐIỆN NƯỚC CÔNG TY CỔ PHẦN VX- TƯ VẤN ĐẦU TƯ VÀ XÂY DỰNG</t>
  </si>
  <si>
    <t>P 1401B- 1402B khu nhà ở LIOGI 13 đường Khuất Duy Tiến - Phường Nhân Chính - Quận Thanh Xuân - Hà Nội.</t>
  </si>
  <si>
    <t>CÔNG TY CỔ PHẦN KLP VIỆT NAM</t>
  </si>
  <si>
    <t xml:space="preserve"> 0106925196</t>
  </si>
  <si>
    <t>Tầng 02 Số 93B3, Khu Đô Thị Đại Kim - Phường Đại Kim - Quận Hoàng Mai - Hà Nội.</t>
  </si>
  <si>
    <t xml:space="preserve"> Đt. 0985577547</t>
  </si>
  <si>
    <t>Chị Quy</t>
  </si>
  <si>
    <t>CÔNG TY CỔ PHẦN KỸ THUẬT T&amp;H</t>
  </si>
  <si>
    <t>0102976545</t>
  </si>
  <si>
    <t>P407- CT4B khu đô thị Bắc Linh Đàm - Phường Đại Kim - Quận Hoàng Mai - Hà Nội.</t>
  </si>
  <si>
    <t>CÔNG TY TNHH ĐẦU TƯ THƯƠNG MẠI ĐỨC TRỌNG</t>
  </si>
  <si>
    <t>0106232152</t>
  </si>
  <si>
    <t>Chi Dung thuế Đống Đa</t>
  </si>
  <si>
    <t>Số 38, phố Vọng - Phường Phương Mai - Quận Đống đa - Hà Nội.</t>
  </si>
  <si>
    <t>CÔNG TY TNHH THƯƠNG MẠI VÀ XÂY DỰNG PHÚC GIA TRANG</t>
  </si>
  <si>
    <t>0105331270</t>
  </si>
  <si>
    <t>Tầng 3, số 45, ngõ 222 Lê Duẩn - Phường Khâm Thiên - Quận Đống đa - Hà Nội.</t>
  </si>
  <si>
    <t>CÔNG TY TRÁCH NHIỆM HỮU HẠN PHÁT TRIỂN KỸ THUẬT VÀ DỊCH VỤ TST</t>
  </si>
  <si>
    <t>0108238657</t>
  </si>
  <si>
    <t>Số 34, ngách 28/76, phố Đại Linh - Phường Trung Văn - Quận Nam Từ Liêm - Hà Nội.</t>
  </si>
  <si>
    <t>CÔNG TY CỔ PHẦN ĐẦU TƯ PHÁT TRIỂN HẠ TẦNG GIAO THÔNG VÀ NHÀ CÔNG NGHIỆP CƯỜNG THỊNH</t>
  </si>
  <si>
    <t>0108196686</t>
  </si>
  <si>
    <t>Số nhà 22, nghách 28/90, đường Đại Linh. - Phường Trung Văn - Quận Nam Từ Liêm - Hà Nội.</t>
  </si>
  <si>
    <t>CÔNG TY TNHH XÂY DỰNG QUỐC TẾ VIỆT HOÀNG</t>
  </si>
  <si>
    <t>0104830358</t>
  </si>
  <si>
    <t>Số 26, lô 3, ngõ 51/2 Lãng Yên - Phường Thanh Lương - Quận Hai Bà Trưng - Hà Nội.</t>
  </si>
  <si>
    <t>0107628647</t>
  </si>
  <si>
    <t>Quỳnh</t>
  </si>
  <si>
    <t>CÔNG TY TNHH MIRAE EP</t>
  </si>
  <si>
    <t>Thắng nam từ liêm</t>
  </si>
  <si>
    <t>Số 47, TT4 Khu đô thị Mỹ Đình - Mễ Trì - Phường Mỹ Đình 1 - Quận Nam Từ Liêm - Hà Nội.</t>
  </si>
  <si>
    <t>CÔNG TY CỔ PHẦN XÂY DỰNG CÔNG TRÌNH HUY HOÀNG</t>
  </si>
  <si>
    <t>0105330485</t>
  </si>
  <si>
    <t>Số nhà 39A, tổ 45 - Phường Phương Liên - Quận Đống đa - Hà Nội.</t>
  </si>
  <si>
    <t>0108044193</t>
  </si>
  <si>
    <t>CÔNG TY TNHH VT TRAVEL PLUS</t>
  </si>
  <si>
    <t>Số 16 phố Nguyễn Huy Tự - Phường Bạch Đằng - Quận Hai Bà Trưng - Hà Nội.</t>
  </si>
  <si>
    <t>CÔNG TY TRÁCH NHIỆM HỮU HẠN VINA YONG SEONG</t>
  </si>
  <si>
    <t xml:space="preserve"> 2300767963</t>
  </si>
  <si>
    <t>Lô J6 khu công nghiệp Đại Đồng - Hoàn Sơn - Phường Tân Hồng - Thị xã Từ Sơn - Bắc Ninh.</t>
  </si>
  <si>
    <t xml:space="preserve">Chị  Hòa: 0969798459 </t>
  </si>
  <si>
    <t>TRƯỜNG TRUNG HỌC CƠ SỞ LÝ THƯỜNG KIỆT</t>
  </si>
  <si>
    <t>0401294050</t>
  </si>
  <si>
    <t>409 Trưng Nữ Vương - Quận Hải Châu - Đà Nẵng.</t>
  </si>
  <si>
    <t>18/12/2022</t>
  </si>
  <si>
    <t>19/12/2022</t>
  </si>
  <si>
    <t>5700513905</t>
  </si>
  <si>
    <t>Doanh Nghiệp Tư Nhân Chính Linh</t>
  </si>
  <si>
    <t>Tổ 2, khu 11 - Phường Việt Hưng - Thành phố Hạ Long - Quảng Ninh.</t>
  </si>
  <si>
    <t>0982952788 Chị Trang</t>
  </si>
  <si>
    <t>TT Long 2,6tr</t>
  </si>
  <si>
    <t>CÔNG TY TNHH PHÚ LONG VIỆT NAM</t>
  </si>
  <si>
    <t>20/12/2019</t>
  </si>
  <si>
    <t>3700713756</t>
  </si>
  <si>
    <t>khu phố Chiêu Liêu - PhườngTân Đông Hiệp - TX Dĩ An - Bình Dương.</t>
  </si>
  <si>
    <t>0906169000 Chị Tâm</t>
  </si>
  <si>
    <t>21/12/2019</t>
  </si>
  <si>
    <t>CÔNG TY CỔ PHẦN ĐẦU TƯ H2 HOLDINGS</t>
  </si>
  <si>
    <t>0102847797</t>
  </si>
  <si>
    <t>Số 77 đường Đặng Xuân Bảng - Phường Đại Kim - Quận Hoàng Mai - Hà Nội.</t>
  </si>
  <si>
    <t>Tuyên BG</t>
  </si>
  <si>
    <t>20/12/2022</t>
  </si>
  <si>
    <t>0106682289</t>
  </si>
  <si>
    <t>Số 83B3, khu đô thị Đại Kim - Phường Đại Kim - Quận Hoàng Mai - Hà Nội.</t>
  </si>
  <si>
    <t>CÔNG TY TNHH SẢN XUẤT THƯƠNG MẠI VÀ DỊCH VỤ VIỆT ĐÀI</t>
  </si>
  <si>
    <t>CÔNG TY TNHH THƯƠNG MẠI VÀ DỊCH VỤ QUỐC QUANG</t>
  </si>
  <si>
    <t xml:space="preserve"> 0101477550</t>
  </si>
  <si>
    <t>Số 789 đường Nguyễn Tam Trinh, phường Yên Sở - - Quận Hoàng Mai - Hà Nội.</t>
  </si>
  <si>
    <t>CÔNG TY CỔ PHẦN PHÁT TRIỂN CÔNG NGHIỆP HOÀNG DƯƠNG</t>
  </si>
  <si>
    <t>0104085657</t>
  </si>
  <si>
    <t xml:space="preserve"> Lô TT6.2-86 Dự án KĐT mới Đại Kim - Phường Đại Kim - Quận Hoàng Mai - Hà Nội.</t>
  </si>
  <si>
    <t>Hằng liên hệ</t>
  </si>
  <si>
    <t>CÔNG TY CỔ PHẦN ĐẦU TƯ PHÁT TRIỂN VÀ XÂY DỰNG BẢO VIỆT</t>
  </si>
  <si>
    <t>0107506896</t>
  </si>
  <si>
    <t>Số 160 phố Phương Liệt - Phường Phương Liệt - Quận Thanh Xuân - Hà Nội.</t>
  </si>
  <si>
    <t>5 cty</t>
  </si>
  <si>
    <t>CÔNG TY CỔ PHẦN DƯỢC PHẨM NHẤT LỘC</t>
  </si>
  <si>
    <t>0106723496</t>
  </si>
  <si>
    <t>Số 46, lô OBT4 - X1 Bắc Linh Đàm - Phường Đại Kim - Quận Hoàng Mai - Hà Nội.</t>
  </si>
  <si>
    <t>Phương Nhất Lộc</t>
  </si>
  <si>
    <t>duocnhatloc@gmail.com</t>
  </si>
  <si>
    <t>CÔNG TY TNHH ĐẦU TƯ XÂY DỰNG HSPC VIỆT NAM</t>
  </si>
  <si>
    <t>0108084012</t>
  </si>
  <si>
    <t>Số 6 Ngõ 35 Đường Lê Đức Thọ - Phường Mỹ Đình 2 - Quận Nam Từ Liêm - Hà Nội.</t>
  </si>
  <si>
    <t>HSPC</t>
  </si>
  <si>
    <t>CÔNG TY TNHH CÔNG NGHỆ, THIẾT BỊ RƯỢU VÀ ĐỒ UỐNG VIỆT NAM</t>
  </si>
  <si>
    <t>0108204947</t>
  </si>
  <si>
    <t>Số 130 D4, khu đô thị mới Đại Kim - Phường Đại Kim - Quận Hoàng Mai - Hà Nội.</t>
  </si>
  <si>
    <t xml:space="preserve"> 0106821091</t>
  </si>
  <si>
    <t>CÔNG TY TNHH KENZA VIỆT NAM</t>
  </si>
  <si>
    <t>Số 100, phố Xã Đàn - Phường Phương Liên - Quận Đống đa - Hà Nội.</t>
  </si>
  <si>
    <t>Thảo Kenza</t>
  </si>
  <si>
    <t>0107958275</t>
  </si>
  <si>
    <t>CÔNG TY TNHH THƯƠNG MẠI XÂY DỰNG BẢO LINH</t>
  </si>
  <si>
    <t>Số 25, ngõ 112 phố Mễ Trì Thượng - Phường Mễ Trì - Quận Nam Từ Liêm - Hà Nội.</t>
  </si>
  <si>
    <t>Huệ Bảo Linh</t>
  </si>
  <si>
    <t>CÔNG TY CỔ PHẦN PHƯỚC TƯỢNG PHÚ GIA BOT</t>
  </si>
  <si>
    <t>0106205342</t>
  </si>
  <si>
    <t>Lô 4 BT1, Khu đô thị Mễ Trì Hạ - Phường Mễ Trì - Quận Nam Từ Liêm - Hà Nội.</t>
  </si>
  <si>
    <t>CÔNG TY CỔ PHẦN KỸ THUẬT CÔNG NGHỆ B&amp;G VIỆT NAM</t>
  </si>
  <si>
    <t>0107448475</t>
  </si>
  <si>
    <t>Số nhà 77, đường Đặng Xuân Bảng - Phường Đại Kim - Quận Hoàng Mai - Hà Nội.</t>
  </si>
  <si>
    <t>Tuyên B&amp;G</t>
  </si>
  <si>
    <t>CÔNG TY TNHH MỘT THÀNH VIÊN SẢN XUẤT - THƯƠNG MẠI VÀ ĐẦU TƯ MINH AN</t>
  </si>
  <si>
    <t>0103344002</t>
  </si>
  <si>
    <t>Số 143 phố Hoàng Văn Thái - Phường Khương Trung - Quận Thanh Xuân - Hà Nội.</t>
  </si>
  <si>
    <t>CÔNG TY TNHH THƯƠNG MẠI &amp; DU LỊCH VIỆT HƯNG</t>
  </si>
  <si>
    <t>Hương vợ Hưng</t>
  </si>
  <si>
    <t>5702010128</t>
  </si>
  <si>
    <t>Số 05, đại lộ Hòa Bình, - Phường Trần Phú - Thành phố Móng cái - Quảng Ninh.</t>
  </si>
  <si>
    <t>CÔNG TY CỔ PHẦN TƯ VẤN ĐẦU TƯ XÂY DỰNG BÁCH VIỆT</t>
  </si>
  <si>
    <t>0105100435</t>
  </si>
  <si>
    <t>Khu Trung, thôn Dục Nội - Xã Việt Hùng - Huyện Đông Anh - Hà Nội - Việt Nam.</t>
  </si>
  <si>
    <t>0366 223 605 - c hảo</t>
  </si>
  <si>
    <t>TT Nacencomm 23/12</t>
  </si>
  <si>
    <t>0107123928</t>
  </si>
  <si>
    <t xml:space="preserve"> CÔNG TY TNHH THƯƠNG MẠI DV CỬU LONG</t>
  </si>
  <si>
    <t>Số nhà 1178 Đường Hùng Vương - Phường Tiên Cát - Thành phố Việt Trì - Phú Thọ.</t>
  </si>
  <si>
    <t>0334661220 Chị Mai</t>
  </si>
  <si>
    <t>23/12/2019</t>
  </si>
  <si>
    <t>23/12/2022</t>
  </si>
  <si>
    <t>24/12/2019</t>
  </si>
  <si>
    <t>Chị Nhung thuế Đống Đa</t>
  </si>
  <si>
    <t>CÔNG TY TNHH THƯƠNG MẠI &amp; DỊCH VỤ LỮ HÀNH SAO VIỆT</t>
  </si>
  <si>
    <t>0106362176</t>
  </si>
  <si>
    <t>Nhà số 5, ngõ 91/40, đường Nguyễn Chí Thanh - Phường Láng Hạ - Quận Đống đa - Hà Nội.</t>
  </si>
  <si>
    <t>CÔNG TY TNHH CÔNG NGHỆ PEST CONTROL VIỆT NAM</t>
  </si>
  <si>
    <t>0108010194</t>
  </si>
  <si>
    <t>BT 3.6 Khu Biệt thự Viglacera - Phường Tây Mỗ - Quận Nam Từ Liêm - Hà Nội.</t>
  </si>
  <si>
    <t xml:space="preserve">Chị vân Anh: '0963058007 </t>
  </si>
  <si>
    <t>CÔNG TY TNHH TRUYỀN THÔNG QUẢNG CÁO BÀN TAY VÀNG</t>
  </si>
  <si>
    <t>0104151853</t>
  </si>
  <si>
    <t>NV2 -38 Khu Biệt thự Nhà vườn Viglacera - Phường Đại Mỗ - Quận Nam Từ Liêm - Hà Nội.</t>
  </si>
  <si>
    <t>0106547579</t>
  </si>
  <si>
    <t>Chị Hà 5 Cty</t>
  </si>
  <si>
    <t>CÔNG TY CỔ PHẦN THÁP MƯỜI</t>
  </si>
  <si>
    <t>Số 7, lô Biệt thự 2, khu Bắc Linh Đàm - Phường Đại Kim - Quận Hoàng Mai - Hà Nội.</t>
  </si>
  <si>
    <t>CÔNG TY TNHH VẬN TẢI VÀ THƯƠNG MẠI HOÀNG LỊCH</t>
  </si>
  <si>
    <t>0106770866</t>
  </si>
  <si>
    <t>Số 17, ngõ 98, tổ 15 - Phường Kiến Hưng - Quận Hà Đông - Hà Nội.</t>
  </si>
  <si>
    <t>CÔNG TY TNHH XỬ LÝ NỀN MÓNG TRƯỜNG ĐẠT</t>
  </si>
  <si>
    <t>Số 4, ngách 204/5, tổ 27, đường Kim Giang - Phường Đại Kim - Quận Hoàng Mai - Hà Nội.</t>
  </si>
  <si>
    <t xml:space="preserve"> 0106908747</t>
  </si>
  <si>
    <t xml:space="preserve"> CÔNG TY LUẬT TRÁCH NHIỆM HỮU HẠN ĐÀO NGỌC LÝ</t>
  </si>
  <si>
    <t xml:space="preserve">0101331488 </t>
  </si>
  <si>
    <t>Phòng 1701B tầng 17 toà nhà M3-M4 Nguyễn Chí Thanh,P.Láng Hạ - Phường Láng Hạ - Quận Đống đa - Hà Nội.</t>
  </si>
  <si>
    <t>0107134510</t>
  </si>
  <si>
    <t xml:space="preserve"> CÔNG TY TNHH BẢO HỘ LAO ĐỘNG AN BÌNH</t>
  </si>
  <si>
    <t>Số nhà 12, ngõ 14 đường Ngô Quyền - Phường Quang Trung - Quận Hà Đông - Hà Nội.</t>
  </si>
  <si>
    <t>CÔNG TY CỔ PHẦN ĐẦU TƯ XÂY DỰNG HÀ ANH</t>
  </si>
  <si>
    <t>0106061186</t>
  </si>
  <si>
    <t>0105292335</t>
  </si>
  <si>
    <t>CÔNG TY TRÁCH NHIỆM HỮU HẠN THƯƠNG MẠI THIÊN HÒA MINH HÀ NỘI</t>
  </si>
  <si>
    <t xml:space="preserve">Số 8 dãy 10 khu TT Z179 - Xã Tứ Hiệp - Huyện Thanh Trì - Hà Nội.
</t>
  </si>
  <si>
    <t>0968611061 Anh Hưng</t>
  </si>
  <si>
    <t>25/12/2019</t>
  </si>
  <si>
    <t>Số 2 ngõ 79/3 Đường Nguyễn Chí Thanh - Phường Láng Hạ - Quận Đống đa - Hà Nội.</t>
  </si>
  <si>
    <t>0108361604</t>
  </si>
  <si>
    <t>CÔNG TY TNHH ĐẦU TƯ VÀ QUẢNG CÁO BẢO NGỌC</t>
  </si>
  <si>
    <t>Trang Kế Toán</t>
  </si>
  <si>
    <t>Số 4/A1, tổ 8, Tu Hoàng - Phường Phương Canh - Quận Nam Từ Liêm - Hà Nội.</t>
  </si>
  <si>
    <t>0102868860</t>
  </si>
  <si>
    <t>CÔNG TY CỔ PHẦN TƯ VẤN VÀ XÂY DỰNG ĐẠI PHÁT</t>
  </si>
  <si>
    <t>32D2 khu đô thị mới Đại Kim - Phường Đại Kim - Quận Hoàng Mai - Hà Nội.</t>
  </si>
  <si>
    <t>CÔNG TY TNHH THƯƠNG MẠI DỊCH VỤ KỸ THUẬT AQ VIỆT NAM</t>
  </si>
  <si>
    <t>0108409140</t>
  </si>
  <si>
    <t>Số 6, ngõ 136 Nguyễn Thái Học - Phường Điện Biên - Quận Ba Đình - Hà Nội.</t>
  </si>
  <si>
    <t>CÔNG TY CỔ PHẦN XÂY LẮP VÀ CHUYỂN GIAO CÔNG NGHỆ HÀ NỘI</t>
  </si>
  <si>
    <t>0101865514</t>
  </si>
  <si>
    <t>Số 37, phố Nguyễn Thái Học - Phường Điện Biên - Quận Ba Đình - Hà Nội.</t>
  </si>
  <si>
    <t>CÔNG TY TNHH XÂY DỰNG HẢI YẾN</t>
  </si>
  <si>
    <t>0104226668</t>
  </si>
  <si>
    <t>Mê Linh</t>
  </si>
  <si>
    <t>Thôn Nội Đồng - Xã Đại Thịnh - Huyện Mê Linh - Hà Nội.</t>
  </si>
  <si>
    <t>0969798459 Chị Hà</t>
  </si>
  <si>
    <t>CÔNG TY CỔ PHẦN DỊCH VỤ THIẾT KẾ VÀ TRUYỀN THÔNG TOBEDESIGNERS</t>
  </si>
  <si>
    <t>0104664069</t>
  </si>
  <si>
    <t>số 06 ngách 197/318/146, tổ 9 - Phường Thạch Bàn - Quận Long Biên - Hà Nội.</t>
  </si>
  <si>
    <t>CÔNG TY CỔ PHẦN KỸ THUẬT &amp; ĐẦU TƯ PHÚC THÀNH</t>
  </si>
  <si>
    <t>0105184611</t>
  </si>
  <si>
    <t>Khu 3, thôn Nội Đồng - Xã Đại Thịnh - Huyện Mê Linh - Hà Nội.</t>
  </si>
  <si>
    <t>Anh Thành 0906056120</t>
  </si>
  <si>
    <t>CÔNG TY TNHH LỮ HÀNH XANH VIỆT NAM</t>
  </si>
  <si>
    <t>0106862443</t>
  </si>
  <si>
    <t>Số 42 Đăng Văn Ngữ - Phường Phương Liên - Quận Đống đa - Hà Nội.</t>
  </si>
  <si>
    <t>CHI NHÁNH CÔNG TY TNHH THƯƠNG MẠI TỔNG HỢP KIM SƠN</t>
  </si>
  <si>
    <t>2400335967-001</t>
  </si>
  <si>
    <t>P709 CT3 Chung Cư Bắc Linh Đàm, P.Đại Kim - - Quận Hoàng Mai - Hà Nội.</t>
  </si>
  <si>
    <t xml:space="preserve"> 0101657962</t>
  </si>
  <si>
    <t>CÔNG TY CỔ PHẦN LONG HẢI VIỆT NAM</t>
  </si>
  <si>
    <t>Số 19 ngõ 64 phố Đặng Văn Ngữ - Phường Phương Liên - Quận Đống đa - Hà Nội.</t>
  </si>
  <si>
    <t xml:space="preserve"> 0105779471</t>
  </si>
  <si>
    <t>CÔNG TY CỔ PHẦN VẬN TẢI VINSHIPPRO</t>
  </si>
  <si>
    <t>Số 65C, ngõ 46, đường Ngọc Hồi - Phường Hoàng Liệt - Quận Hoàng Mai - Hà Nội.</t>
  </si>
  <si>
    <t>CÔNG TY CỔ PHẦN KỸ THUẬT CÔNG NGHỆ XANH QUỐC TẾ</t>
  </si>
  <si>
    <t>0107712070</t>
  </si>
  <si>
    <t>CÔNG TY CỔ PHẦN ĐẦU TƯ VÀ XÂY DỰNG BƯU ĐIỆN 1</t>
  </si>
  <si>
    <t>Tầng 3, tháp C, tòa nhà Golden Palace, đường Mễ Trì - Phường Mễ Trì - Quận Nam Từ Liêm - Hà Nội.</t>
  </si>
  <si>
    <t>Trang Xây dựng Bưu điện</t>
  </si>
  <si>
    <t>doantrang.2203@gmail.com</t>
  </si>
  <si>
    <t>CÔNG TY CỔ PHẦN ĐẦU TƯ VÀ XÂY DỰNG BƯU ĐIỆN</t>
  </si>
  <si>
    <t>0100686544</t>
  </si>
  <si>
    <t>Thôn Pháp Vân - Phường Hoàng Liệt - Quận Hoàng Mai - Hà Nội.</t>
  </si>
  <si>
    <t>Trang Bưu điện</t>
  </si>
  <si>
    <t>CÔNG TY TNHH ĐẦU TƯ PHÁT TRIỂN THƯƠNG MẠI HOÀNG HÀ</t>
  </si>
  <si>
    <t>0102220903</t>
  </si>
  <si>
    <t>Số 27 F2 khu ĐT Đại Kim, p.Đại Kim - - Quận Hoàng Mai - Hà Nội.</t>
  </si>
  <si>
    <t>Chưa xin cấp</t>
  </si>
  <si>
    <t>Xin cấp tháng 12</t>
  </si>
  <si>
    <t>Tháng 12 làm</t>
  </si>
  <si>
    <t>26/12/2019</t>
  </si>
  <si>
    <t>CÔNG TY CỔ PHẦN APO</t>
  </si>
  <si>
    <t>0105529513</t>
  </si>
  <si>
    <t>Tầng 6, tòa nhà Golden Field, Khu đô thị mới Mỹ Đình I - Phường Cầu Diễn - Quận Nam Từ Liêm - Hà Nội.</t>
  </si>
  <si>
    <t>Phan Thị Thúy
ĐT: 0902001573</t>
  </si>
  <si>
    <t>sdt: 0985668782Trang - Minh Ngọc 4T</t>
  </si>
  <si>
    <t>CÔNG TY CỔ PHẦN DỊCH VỤ VÀ TRUYỀN THÔNG HD VIỆT NAM</t>
  </si>
  <si>
    <t>Số 203, đường Giáp Bát - Phường Giáp Bát - Quận Hoàng Mai - Hà Nội.</t>
  </si>
  <si>
    <t>0107343049</t>
  </si>
  <si>
    <t>CÔNG TY TNHH VINAWAN VIỆT NAM</t>
  </si>
  <si>
    <t>Thoa Bạn chị Thúy</t>
  </si>
  <si>
    <t>0107281402</t>
  </si>
  <si>
    <t>Số 165 phố Vũ Hữu - Phường Thanh Xuân Bắc - Quận Thanh Xuân - Hà Nội.</t>
  </si>
  <si>
    <t>Thoa bạn chị thúy</t>
  </si>
  <si>
    <t>CÔNG TY CỔ PHẦN ĐẦU TƯ VÀ PHÁT TRIỂN XÂY DỰNG HOÀNG NGÂN</t>
  </si>
  <si>
    <t>0106494711</t>
  </si>
  <si>
    <t>Cụm 8, thôn Hạ Thái - Xã Duyên Thái - Huyện Thường Tín - Hà Nội.</t>
  </si>
  <si>
    <t>Tuyết - Chị Loan Thường Tín</t>
  </si>
  <si>
    <t>0105648817</t>
  </si>
  <si>
    <t>CÔNG TY CỔ PHẦN GIẢI PHÁP XÂY DỰNG DAD</t>
  </si>
  <si>
    <t>Chiị Dương</t>
  </si>
  <si>
    <t>Số 2B, ngõ 168/97/6, phố Kim Giang - Phường Đại Kim - Quận Hoàng Mai - Hà Nội.</t>
  </si>
  <si>
    <t>CÔNG TY TNHH ĐẦU TƯ VÀ PHÁT TRIỂN CÔNG NGHỆ MỚI</t>
  </si>
  <si>
    <t>Số 66, lô B2, khu đô thị mới Đại Kim - Phường Đại Kim - Quận Hoàng Mai - Hà Nội.</t>
  </si>
  <si>
    <t xml:space="preserve"> 0101273860</t>
  </si>
  <si>
    <t>Ca2-e2000</t>
  </si>
  <si>
    <t>0105966827</t>
  </si>
  <si>
    <t>CÔNG TY CỔ PHẦN ĐẦU TƯ VÀ CÔNG NGHỆ H2T VIỆT NAM</t>
  </si>
  <si>
    <t>Số 18, ngõ 475/20/36, đường Nguyễn Trãi - Phường Hạ Đình - Quận Thanh Xuân - Hà Nội.</t>
  </si>
  <si>
    <t>0106239260</t>
  </si>
  <si>
    <t>Chị Trang Đống Đa</t>
  </si>
  <si>
    <t>CÔNG TY TNHH VÀNG BẠC NGỌC OANH</t>
  </si>
  <si>
    <t>Số 28B, phố Lương Đình Của - Phường Kim Liên - Quận Đống đa - Hà Nội.</t>
  </si>
  <si>
    <t>CÔNG TY CỔ PHẦN ĐẦU TƯ PHÁT TRIỂN CÔNG NGHỆ NTD</t>
  </si>
  <si>
    <t>0106027717</t>
  </si>
  <si>
    <t>Số 35, ngõ 120 Kim Giang - Phường Đại Kim - Quận Hoàng Mai - Hà Nội.</t>
  </si>
  <si>
    <t>CÔNG TY CỔ PHẦN DXC</t>
  </si>
  <si>
    <t>0106217027</t>
  </si>
  <si>
    <t>Số nhà 33B, ngách 378/39, đường Thụy Khuê - Phường Bưởi - Quận Tây Hồ - Hà Nội.</t>
  </si>
  <si>
    <t>CÔNG TY CỔ PHẦN PHÁT TRIỂN THỦ ĐÔ VINA</t>
  </si>
  <si>
    <t>0104525675</t>
  </si>
  <si>
    <t>Số 16, B 15, Khu đô thị Mỹ Đình 1 - Phường Cầu Diễn - Quận Nam Từ Liêm - Hà Nội.</t>
  </si>
  <si>
    <t>0903262246 CHị mai Anh</t>
  </si>
  <si>
    <t>Chị Huyền: 0983860768</t>
  </si>
  <si>
    <t>vinatienphong.vn@gmail.com</t>
  </si>
  <si>
    <t>CÔNG TY CỔ PHẦN CÔNG NGHIỆP XÂY DỰNG &amp; XUẤT NHẬP KHẨU HOÀNG PHÚC</t>
  </si>
  <si>
    <t>0105283387</t>
  </si>
  <si>
    <t>Số 72 B3, khu đô thị Đại Kim - Phường Đại Kim - Quận Hoàng Mai - Hà Nội.</t>
  </si>
  <si>
    <t>CÔNG TY TNHH MỘT THÀNH VIÊN ĐTXD &amp; TM TIÊN PHONG - VINA</t>
  </si>
  <si>
    <t>0106091864</t>
  </si>
  <si>
    <t>Số 16 B15 Khu đô thị Mỹ Đình I - Phường Cầu Diễn - Quận Nam Từ Liêm - Hà Nội.</t>
  </si>
  <si>
    <t>CÔNG TY CỔ PHẦN BẤT ĐỘNG SẢN HOÀNG HÀ</t>
  </si>
  <si>
    <t>0104852023</t>
  </si>
  <si>
    <t>Chị Thư SĐT 0902466773,</t>
  </si>
  <si>
    <t>hoangdieuthu12@yahoo.com</t>
  </si>
  <si>
    <t>W704 - The Manor - Phường Mỹ Đình 1 - Quận Nam Từ Liêm - Hà Nội.</t>
  </si>
  <si>
    <t>CÔNG TY CỔ PHẦN ĐẦU TƯ PHÁT TRIỂN XÂY DỰNG VÀ THƯƠNG MẠI ĐẠI VIỆT</t>
  </si>
  <si>
    <t>Số 22 tổ 19 - Phường Cầu Diễn - Quận Nam Từ Liêm - Hà Nội.</t>
  </si>
  <si>
    <t>0106340951</t>
  </si>
  <si>
    <t>0101954588</t>
  </si>
  <si>
    <t>CÔNG TY TNHH ĐẦU TƯ CÔNG NGHIỆP SAO KIM</t>
  </si>
  <si>
    <t>ô 3 Lô TT6 Dãy A Tây Nam � Linh Đàm - Phường Hoàng Liệt - Quận Hoàng Mai - Hà Nội.</t>
  </si>
  <si>
    <t>Chị Tâm: 0906169000</t>
  </si>
  <si>
    <t>28/12/2019</t>
  </si>
  <si>
    <t>CÔNG TY TNHH THƯƠNG MẠI VÀ CÔNG NGHỆ POPO VIỆT NAM</t>
  </si>
  <si>
    <t>0106867064</t>
  </si>
  <si>
    <t>Số 160, phố Xã Đàn - Phường Phương Liên - Quận Đống đa - Hà Nội.</t>
  </si>
  <si>
    <t>CÔNG TY CỔ PHẦN KỸ THUẬT KÍNH THĂNG LONG</t>
  </si>
  <si>
    <t>0105000550</t>
  </si>
  <si>
    <t>Số nhà 12, ngách 236/34, phố Đại Từ - Phường Đại Kim - Quận Hoàng Mai - Hà Nội.</t>
  </si>
  <si>
    <t>Ca2-ei1000</t>
  </si>
  <si>
    <t>CÔNG TY TNHH MỘT THÀNH VIÊN DỊCH VỤ BẢO VỆ ĐỒNG ĐỘI</t>
  </si>
  <si>
    <t>0943005575. Chị Quyên</t>
  </si>
  <si>
    <t xml:space="preserve"> 0105361927</t>
  </si>
  <si>
    <t>Số 77 Đặng Xuân Bảng - Phường Đại Kim - Quận Hoàng Mai - Hà Nội.</t>
  </si>
  <si>
    <t>CÔNG TY CỔ PHẦN DƯỢC PHẨM SAO Y</t>
  </si>
  <si>
    <t xml:space="preserve"> 0108708006</t>
  </si>
  <si>
    <t>Phòng 211-212 Nhà E2 khu Đoàn ngoại giao Trung Tự, Số 6 Đặng - Phường Trung Tự - Quận Đống đa - Hà Nội.</t>
  </si>
  <si>
    <t>CÔNG TY TNHH CÔNG NGHỆ MÔI TRƯỜNG VÀ TỰ ĐỘNG HOÁ MINH TÂN</t>
  </si>
  <si>
    <t xml:space="preserve"> 0104186895</t>
  </si>
  <si>
    <t>Số 2, ngách 250/16, tổ 27, đường Kim Giang - Phường Đại Kim - Quận Hoàng Mai - Hà Nội.</t>
  </si>
  <si>
    <t>Chị Thủy Minh Tân</t>
  </si>
  <si>
    <t>0106872321</t>
  </si>
  <si>
    <t>CÔNG TY TNHH THƯƠNG MẠI TỔNG HỢP MKK</t>
  </si>
  <si>
    <t>Số 120C5, Ngõ 4, phố Đặng Văn Ngữ - Phường Trung Tự - Quận Đống đa - Hà Nội.</t>
  </si>
  <si>
    <t>0106936159</t>
  </si>
  <si>
    <t>CÔNG TY TNHH KINH DOANH THƯƠNG MẠI VÀ PHÁT TRIỂN TOÀN CẦU</t>
  </si>
  <si>
    <t>Số nhà 13, Ngõ 48/67/42 Ngô Gia Tự - Phường Việt Hưng - Quận Long Biên - Hà Nội.</t>
  </si>
  <si>
    <t>30/12/2019</t>
  </si>
  <si>
    <t>Thôn Đông Lao - Xã Đông La - Huyện Hoài Đức - Hà Nội.</t>
  </si>
  <si>
    <t>31/12/2019</t>
  </si>
  <si>
    <t>0401771320</t>
  </si>
  <si>
    <t>DOANH NGHIỆP TƯ NHÂN TRẦN BÌNH ĐỨC</t>
  </si>
  <si>
    <t>85-87 Trần Phú - Phường Hải Châu I - Quận Hải Châu - Đà Nẵng.</t>
  </si>
  <si>
    <t>CÔNG TY TNHH VẬN TẢI VÀ XÂY DỰNG ĐỨC THỊNH</t>
  </si>
  <si>
    <t>0104543995</t>
  </si>
  <si>
    <t>Số nhà 27, ngõ 39, tổ 7 Đa Sỹ - Phường Kiến Hưng - Quận Hà Đông - Hà Nội.</t>
  </si>
  <si>
    <t>CÔNG TY CỔ PHẦN XÂY DỰNG VÀ THƯƠNG MẠI MNA</t>
  </si>
  <si>
    <t>0107515844</t>
  </si>
  <si>
    <t>Số 1, dãy X, ngõ 22 Ngô Quyền - Phường Quang Trung - Quận Hà Đông - Hà Nội.</t>
  </si>
  <si>
    <t>CÔNG TY TNHH CÔNG NGHỆ VÀ GIẢI PHÁP NGÀNH NƯỚC THIÊN HÀ</t>
  </si>
  <si>
    <t>Anh Chín</t>
  </si>
  <si>
    <t>0108966159</t>
  </si>
  <si>
    <t>Số 8, đường Dương Đình Nghệ - Phường Yên Hoà - Quận Cầu Giấy - Hà Nội.</t>
  </si>
  <si>
    <t>Mỹ Linh Hà my 0362240996</t>
  </si>
  <si>
    <t>CÔNG TY TNHH NHỰA ANH TÚ</t>
  </si>
  <si>
    <t>0102186586</t>
  </si>
  <si>
    <t>Số 627 Hoàng Hoa Thám - Phường Vĩnh Phúc - Quận Ba Đình - Hà Nội.</t>
  </si>
  <si>
    <t>0104943979</t>
  </si>
  <si>
    <t>CÔNG TY CỔ PHẦN ĐẦU TƯ XÂY DỰNG VÀ PHÁT TRIỂN TRUNG MINH</t>
  </si>
  <si>
    <t>Số 9, tổ 15 - Phường Kiến Hưng - Quận Hà Đông - Hà Nội.</t>
  </si>
  <si>
    <t>CÔNG TY CỔ PHẦN HAL</t>
  </si>
  <si>
    <t>0107766911</t>
  </si>
  <si>
    <t>số 136 đường Biên Giang - Phường Biên Giang - Quận Hà Đông - Hà Nội.</t>
  </si>
  <si>
    <t>CÔNG TY CỔ PHẦN QUẢN LÝ VÀ ĐẦU TƯ XÂY DỰNG ĐƯỜNG BỘ HÀ NỘI</t>
  </si>
  <si>
    <t>0500441122</t>
  </si>
  <si>
    <t>Km 0+300 Quốc lộ 21 - Phường Quang Trung - Thị Xã Sơn Tây - Hà Nội.</t>
  </si>
  <si>
    <t>0106356454</t>
  </si>
  <si>
    <t xml:space="preserve"> CÔNG TY TNHH ĐẦU TƯ VÀ THƯƠNG MẠI HOÀNG PHÁT HÀ NỘI</t>
  </si>
  <si>
    <t>Số 32, ngách 180/84 đường Nguyễn Lương Bằng - Phường Quang Trung - Quận Đống đa - Hà Nội.</t>
  </si>
  <si>
    <t>0102104463</t>
  </si>
  <si>
    <t xml:space="preserve"> CÔNG TY CỔ PHẦN GIAO NHẬN ISO</t>
  </si>
  <si>
    <t>Số 154 lô C, khu đô thị mới Đại Kim - Phường Đại Kim - Quận Hoàng Mai - Hà Nội.</t>
  </si>
  <si>
    <t xml:space="preserve"> 0106292641</t>
  </si>
  <si>
    <t>Chị Ngọc thuế Đống Đa</t>
  </si>
  <si>
    <t>CÔNG TY CỔ PHẦN KIẾN TRÚC VÀ XÂY DỰNG ARKITEC VIỆT NAM</t>
  </si>
  <si>
    <t>Số 57, ngõ 46 Phạm Ngọc Thạch - Phường Trung Tự - Quận Đống đa - Hà Nội.</t>
  </si>
  <si>
    <t>Số nhà 19, ngõ 172 Nguyễn Văn Trỗi - Phường Hai Bà Trưng - Thành phố Phủ Lý - Hà Nam.</t>
  </si>
  <si>
    <t xml:space="preserve"> '0700831585</t>
  </si>
  <si>
    <t>CÔNG TY CỔ PHẦN ENTECO VIỆT NAM</t>
  </si>
  <si>
    <t>Số nhà 20, phố Phạm Hồng Thái - P. Nguyễn Trung Trực - Quận Ba Đình - Hà Nội.</t>
  </si>
  <si>
    <t>CÔNG TY TNHH THƯƠNG MẠI VÀ DU LỊCH QUỐC TẾ HÒA BÌNH</t>
  </si>
  <si>
    <t>Móng Cái</t>
  </si>
  <si>
    <t>Số 1, Đại lộ Hòa Bình - Phường Trần Phú - Thành phố Móng cái - Quảng Ninh.</t>
  </si>
  <si>
    <t>CÔNG TY TNHH XUẤT NHẬP KHẨU VÀ THƯƠNG MẠI MINH QUANG</t>
  </si>
  <si>
    <t>0109033162</t>
  </si>
  <si>
    <t>Số 5, Ngõ 157, Ngách 31 hẻm 14 Pháo Đài Láng, - Phường Láng Thượng - Quận Đống đa - Hà Nội.</t>
  </si>
  <si>
    <t>Chị Thúy: 0394339069</t>
  </si>
  <si>
    <t>26/12/2022</t>
  </si>
  <si>
    <t>27/12/2019</t>
  </si>
  <si>
    <t>CÔNG TY TNHH HƯNG PHÚ</t>
  </si>
  <si>
    <t>0700258519</t>
  </si>
  <si>
    <t>Khu tập thể công ty cổ phần giống cây trồng Trung ương - Thị trấn Đồng Văn - Huyện Duy Tiên - Hà Nam.</t>
  </si>
  <si>
    <t>Dinhoanh - Gerime</t>
  </si>
  <si>
    <t>27/12/2022</t>
  </si>
  <si>
    <t>CÔNG TY CỔ PHẦN PHÁT TRIỂN TIN HỌC SAO VIỆT</t>
  </si>
  <si>
    <t>0103148311</t>
  </si>
  <si>
    <t>Chị Thu - A Quang</t>
  </si>
  <si>
    <t>Số 9/126 đường Xuân Đỉnh - Phường Xuân Đỉnh - Quận Bắc Từ Liêm - Hà Nội.</t>
  </si>
  <si>
    <t>0104963069</t>
  </si>
  <si>
    <t>CÔNG TY TNHH LAVENDER GARDEN</t>
  </si>
  <si>
    <t>Số 22, phố Cầu Đất - Phường Chương Dương - Quận Hoàn Kiếm - Hà Nội.</t>
  </si>
  <si>
    <t>Chị Thu: 0342893456</t>
  </si>
  <si>
    <t xml:space="preserve"> CÔNG TY CỔ PHẦN THƯƠNG MẠI XUẤT NHẬP KHẨU NAM THĂNG LONG</t>
  </si>
  <si>
    <t>Số 12 ngõ 19 phố Kim Đồng, phường Giáp Bát - Phường Giáp Bát - Quận Hoàng Mai - Hà Nội.</t>
  </si>
  <si>
    <t>0101431179</t>
  </si>
  <si>
    <t>Chị Vân: 0779208279</t>
  </si>
  <si>
    <t>31/12/2022</t>
  </si>
  <si>
    <t>TT nacencomm</t>
  </si>
  <si>
    <t>CÔNG TY CỔ PHẦN THƯƠNG MẠI, KỸ THUẬT VÀ DỊCH VỤ KIM LONG</t>
  </si>
  <si>
    <t>0102138328</t>
  </si>
  <si>
    <t>số 92, ngõ 663 phố Trương Định, phường Thịnh Liệt, Quận Hoàng Mai, Hà Nội</t>
  </si>
  <si>
    <t>CÔNG TY CỔ PHẦN CÔNG NGHỆ VÀ GIẢI PHÁP SYNERGY</t>
  </si>
  <si>
    <t>P501, tòa nhà 71 Nguyễn Chí Thanh - Phường Láng Hạ - Quận Đống đa - Hà Nội.</t>
  </si>
  <si>
    <t>0105506957</t>
  </si>
  <si>
    <t>Bù trừ CK cho chị Tú và chị Dung</t>
  </si>
  <si>
    <t>0106542676</t>
  </si>
  <si>
    <t>CÔNG TY TNHH VẬN TẢI THƯƠNG MẠI DU LỊCH Q&amp;A VIỆT NAM</t>
  </si>
  <si>
    <t>Số nhà B46, khu tập thể 810 - Xã Vĩnh Quỳnh - Huyện Thanh Trì - Hà Nội.</t>
  </si>
  <si>
    <t>0983720975 Anh Kiên</t>
  </si>
  <si>
    <t>0101491876</t>
  </si>
  <si>
    <t>CÔNG TY TNHH CHẾ BIẾN LÂM SẢN NỘI THẤT TIẾN ĐẠT</t>
  </si>
  <si>
    <t>Số 70 ngõ 12 phố Nguyễn Văn Trỗi, - Phường Phương Liệt - Quận Thanh Xuân - Hà Nội.</t>
  </si>
  <si>
    <t>CÔNG TY TNHH THƯƠNG MẠI VÀ VẬN TẢI - DU LỊCH AN TÂM</t>
  </si>
  <si>
    <t>Số 10 + 12 ngõ 80 Phạm Ngọc Thạch - Phường Trung Tự - Quận Đống đa - Hà Nội.</t>
  </si>
  <si>
    <t>0105831026</t>
  </si>
  <si>
    <t xml:space="preserve"> 0101491668</t>
  </si>
  <si>
    <t>CÔNG TY CỔ PHẦN ĐẦU TƯ VÀ PHÁT TRIỂN SAO VÀNG</t>
  </si>
  <si>
    <t>Số 4, phố Tôn Thất Tùng - Phường Trung Tự - Quận Đống đa - Hà Nội.</t>
  </si>
  <si>
    <t xml:space="preserve"> 0101618272</t>
  </si>
  <si>
    <t>CÔNG TY TNHH THƯƠNG MẠI VÀ DỊCH VỤ TUẤN TRUNG</t>
  </si>
  <si>
    <t>Số 37, phố Huỳnh Thúc Kháng - Phường Láng Hạ - Quận Đống đa - Hà Nội.</t>
  </si>
  <si>
    <t>0104648772</t>
  </si>
  <si>
    <t>CÔNG TY CỔ PHẦN TƯ VẤN KẾT CẤU G20</t>
  </si>
  <si>
    <t>Số 212, lô C, khu đô thị Đại Kim - Định Công - Phường Đại Kim - Quận Hoàng Mai - Hà Nội.</t>
  </si>
  <si>
    <t>CÔNG TY CỔ PHẦN ĐẦU TƯ VÀ PHÁT TRIỂN THƯƠNG MẠI THD</t>
  </si>
  <si>
    <t>0107402008</t>
  </si>
  <si>
    <t>Số 73, ngõ 41, phố Đông Tác - Phường Kim Liên - Quận Đống đa - Hà Nội.</t>
  </si>
  <si>
    <t>0401832774</t>
  </si>
  <si>
    <t>282 Nguyễn Tri Phương - Phường Thạc Gián - Quận Thanh Khê - Đà Nẵng.</t>
  </si>
  <si>
    <t>HỢP TÁC XÃ AN PHÁT KHÁNH EMT ĐÀ NẴNG</t>
  </si>
  <si>
    <t>0105861221</t>
  </si>
  <si>
    <t>CÔNG TY TNHH TƯ VẤN XÂY DỰNG VÀ PHÁT TRIỂN THƯƠNG MẠI SUNRISE</t>
  </si>
  <si>
    <t>Phòng 615/04 tầng 6 , 59A Lý Thái Tổ - Phường Tràng Tiền - Quận Hoàn Kiếm - Hà Nội.</t>
  </si>
  <si>
    <t>Chị Anh: 0904375177</t>
  </si>
  <si>
    <t>CÔNG TY TNHH XUẤT NHẬP KHẨU THIẾT BỊ Y TẾ THĂNG LONG</t>
  </si>
  <si>
    <t>Số 24 ngách 97 ngõ 168 đường Kim Giang, tổ 28 - Phường Đại Kim - Quận Hoàng Mai - Hà Nội.</t>
  </si>
  <si>
    <t>0105583327</t>
  </si>
  <si>
    <t>0106176878</t>
  </si>
  <si>
    <t>CÔNG TY TNHH THƯƠNG MẠI VÀ DỊCH VỤ TỔNG HỢP TÂN HƯNG</t>
  </si>
  <si>
    <t>Số 1 ngách 42 ngõ 46 phố Phạm Ngọc Thạch - Phường Phương Liên - Quận Đống đa - Hà Nội.</t>
  </si>
  <si>
    <t>0108048173</t>
  </si>
  <si>
    <t>CÔNG TY TNHH PHÁT TRIỂN KINH DOANH VŨ GIA</t>
  </si>
  <si>
    <t>Số 248 Phố Bà Triệu - Phường Lê Đại Hành - Quận Hai Bà Trưng - Hà Nội.</t>
  </si>
  <si>
    <t>4101531526</t>
  </si>
  <si>
    <t>CÔNG TY TNHH MÃI TÍN BÌNH ĐỊNH</t>
  </si>
  <si>
    <t>Thôn Hội Sơn - Xã Nhơn Hội - Thành phố Quy Nhơn - Bình Định.</t>
  </si>
  <si>
    <t>Quy Nhơn</t>
  </si>
  <si>
    <t>4200674525</t>
  </si>
  <si>
    <t>CÔNG TY TNHH THỰC PHẨM MÃI TÍN</t>
  </si>
  <si>
    <t xml:space="preserve"> 17 Nguyễn Trọng Kỷ - Phường Cam Linh - Thành phố Cam Ranh - Khánh Hòa.</t>
  </si>
  <si>
    <t>Khánh Hòa</t>
  </si>
  <si>
    <t>Hải Mãi Tín</t>
  </si>
  <si>
    <t>CÔNG TY CỔ PHẦN ĐIỂM NHẤN VIỆT NAM</t>
  </si>
  <si>
    <t>Phòng 1308, nhà B tháp đôi An Sinh, tổ 14 - Phường Cầu Diễn - Quận Nam Từ Liêm - Hà Nội.</t>
  </si>
  <si>
    <t>0101951594</t>
  </si>
  <si>
    <t>0104255517</t>
  </si>
  <si>
    <t>CÔNG TY CỔ PHẦN GIẢI PHÁP VÀ NỘI DUNG VẠN XUÂN</t>
  </si>
  <si>
    <t>tầng 5, tòa nhà DINHLE, 123B Trần Đăng Ninh - Phường Dịch Vọng - Quận Cầu Giấy - Hà Nội.</t>
  </si>
  <si>
    <t>CÔNG TY CỔ PHẦN NEWAY MEDIA</t>
  </si>
  <si>
    <t>0108055117</t>
  </si>
  <si>
    <t>Số 91 đường Trung Kính - Phường Trung Hoà - Quận Cầu Giấy - Hà Nội.</t>
  </si>
  <si>
    <t>Số 20, ngõ 166 đường Trần Duy Hưng - Phường Trung Hoà - Quận Cầu Giấy - Hà Nội.</t>
  </si>
  <si>
    <t>Tầng 2, tòa nhà DINHLE, 123B Trần Đăng Ninh - Phường Dịch Vọng - Quận Cầu Giấy - Hà Nội.</t>
  </si>
  <si>
    <t xml:space="preserve"> 5500295583</t>
  </si>
  <si>
    <t>CÔNG TY CỔ PHẦN TƯ VẤN VÀ XÂY DỰNG TÂN TIẾN</t>
  </si>
  <si>
    <t>Số 84, đường Tô Hiệu, tổ 4, phường Tô Hiệu - - Thành phố Sơn La - Sơn La.</t>
  </si>
  <si>
    <t>0973375143 Chị Nhung</t>
  </si>
  <si>
    <t>Trường Cao đẳng nghề Cơ điện</t>
  </si>
  <si>
    <t>Anh Dũng</t>
  </si>
  <si>
    <t>Khu 5, thị trấn Thanh Ba, Phú Thọ</t>
  </si>
  <si>
    <t>2600526973</t>
  </si>
  <si>
    <t>Chữ ký số cá nhân</t>
  </si>
  <si>
    <t>CÔNG TY CỔ PHẦN X3</t>
  </si>
  <si>
    <t>P600-Tầng 6 Tổ hợp văn phòng Tòa nhà số 3 Phan Huy ích - P. Nguyễn Trung Trực - Quận Ba Đình - Hà Nội.</t>
  </si>
  <si>
    <t>0102853737</t>
  </si>
  <si>
    <t>Anh Lập</t>
  </si>
  <si>
    <t>Chị Vân: Di động 0971859119</t>
  </si>
  <si>
    <t>CÔNG TY TRÁCH NHIỆM HỮU HẠN MẠNH HÙNG</t>
  </si>
  <si>
    <t>0700382594</t>
  </si>
  <si>
    <t>C phương: 0903225535</t>
  </si>
  <si>
    <t>0104521800-001</t>
  </si>
  <si>
    <t>CHI NHÁNH CÔNG TY CỔ PHẦN HÒN NGỌC ĐÔNG DƯƠNG</t>
  </si>
  <si>
    <t>406/60/35 Cộng Hòa - Phường 13 - Quận Tân Bình - TP Hồ Chí Minh.</t>
  </si>
  <si>
    <t>Tuyên Sdt: 0357149801</t>
  </si>
  <si>
    <t>Đường 1A - Xã Thanh Hải - Huyện Thanh Liêm - Hà Nam.</t>
  </si>
  <si>
    <t>CÔNG TY CỔ PHẦN GIẢI PHÁP THỊ TRƯỜNG VÀ TRUYỀN THÔNG MS</t>
  </si>
  <si>
    <t>0907456885 Anh Thịnh</t>
  </si>
  <si>
    <t xml:space="preserve"> 0105032270</t>
  </si>
  <si>
    <t>Số 40A phố Hàng Bài - Phường Hàng Bài - Quận Hoàn Kiếm - Hà Nội.</t>
  </si>
  <si>
    <t>CÔNG TY TNHH XÂY DỰNG ĐÔNG HÀ</t>
  </si>
  <si>
    <t>Check lại</t>
  </si>
  <si>
    <t>0104509169</t>
  </si>
  <si>
    <t>CÔNG TY TNHH THƯƠNG MẠI VÀ DỊCH VỤ KIM GIA</t>
  </si>
  <si>
    <t>Phòng 212, nhà C1, khu tập thể Trung Tự - Phường Trung Tự - Quận Đống đa - Hà Nội.</t>
  </si>
  <si>
    <t>CÔNG TY CỔ PHẦN QUY HOẠCH VÀ KIẾN TRÚC VIỆT NAM</t>
  </si>
  <si>
    <t>0105446828</t>
  </si>
  <si>
    <t>P4-H7 Tập thể Kim Liên - Phường Kim Liên - Quận Đống đa - Hà Nội.</t>
  </si>
  <si>
    <t>Chị Vân: 0971859119</t>
  </si>
  <si>
    <t>0102321926</t>
  </si>
  <si>
    <t>CÔNG TY CỔ PHẦN CÔNG NGHIỆP VIỆT THANH</t>
  </si>
  <si>
    <t>Số 81 C2, khu đô thị Đại Kim - Phường Đại Kim - Quận Hoàng Mai - Hà Nội.</t>
  </si>
  <si>
    <t>CÔNG TY TNHH NỘI THẤT XÂY DỰNG VÀ THƯƠNG MẠI MINH THÀNH</t>
  </si>
  <si>
    <t>0106132380</t>
  </si>
  <si>
    <t>Số 2, ngõ 103, đường Phạm Ngọc Thạch - Phường Trung Tự - Quận Đống đa - Hà Nội.</t>
  </si>
  <si>
    <t>CÔNG TY CỔ PHẦN ĐẦU TƯ VÀ PHÁT TRIỂN THƯƠNG MẠI E-LINK VIỆT NAM</t>
  </si>
  <si>
    <t>Số nhà 260, đường Kim Giang - Phường Đại Kim - Quận Hoàng Mai - Hà Nội.</t>
  </si>
  <si>
    <t>CÔNG TY CỔ PHẦN THIẾT BỊ VÀ CÔNG NGHỆ VIỆT PAN</t>
  </si>
  <si>
    <t>Số 32, ngõ 168 đường Kim Giang - Phường Đại Kim - Quận Hoàng Mai - Hà Nội.</t>
  </si>
  <si>
    <t>Chị Hiền: 0904456650</t>
  </si>
  <si>
    <t>CÔNG TY TNHH MỘT THÀNH VIÊN ĐẦU TƯ VÀ PHÁT TRIỂN XÂY DỰNG VIỆT NHẬT</t>
  </si>
  <si>
    <t>0103772713</t>
  </si>
  <si>
    <t>Số nhà 11, ngách 29/26/D4, tập thể máy nước, phố Nghĩa Dũng - Phường Phúc Xá - Quận Ba Đình - Hà Nội.</t>
  </si>
  <si>
    <t>Chúc - Cty Thiên Minh</t>
  </si>
  <si>
    <t>CÔNG TY CỔ PHẦN ĐẦU TƯ VÀ PHÁT TRIỂN PT THỊNH</t>
  </si>
  <si>
    <t xml:space="preserve"> 0108199020</t>
  </si>
  <si>
    <t xml:space="preserve">Số 611 đường Hồng Hà - Phường Chương Dương - Quận Hoàn Kiếm - Hà Nội.
</t>
  </si>
  <si>
    <t>Anh Đình</t>
  </si>
  <si>
    <t>CÔNG TY TNHH CATBOX VIỆT NAM</t>
  </si>
  <si>
    <t>0106713498</t>
  </si>
  <si>
    <t>Số 7, ngõ 37, phốTây Kết - Phường Bạch Đằng - Quận Hai Bà Trưng - Hà Nội.</t>
  </si>
  <si>
    <t>0108045831</t>
  </si>
  <si>
    <t>Lý Toét</t>
  </si>
  <si>
    <t>CÔNG TY CỔ PHẦN BIG INVEST GROUP</t>
  </si>
  <si>
    <t>68, phố Trần Thái Tông - Phường Dịch Vọng Hậu - Quận Cầu Giấy - Hà Nội.</t>
  </si>
  <si>
    <t>Loan  - Big</t>
  </si>
  <si>
    <t>TT NACENCOMM</t>
  </si>
  <si>
    <t>Anh Tuấn: 098576115</t>
  </si>
  <si>
    <t>Phương Duyến BOT
0986676733</t>
  </si>
  <si>
    <t>TT TK Chúc</t>
  </si>
  <si>
    <t>0100921445</t>
  </si>
  <si>
    <t>Số 4, tổ 29 - Thị trấn Đông Anh - Huyện Đông Anh - Hà Nội.</t>
  </si>
  <si>
    <t>CÔNG TY TNHH ĐẦU TƯ - THƯƠNG MẠI - DỊCH VỤ MINH ANH</t>
  </si>
  <si>
    <t>Số 14, ngách 177/18, phố Định Công - Phường Định Công - Quận Hoàng Mai - Hà Nội.</t>
  </si>
  <si>
    <t>CÔNG TY TNHH MỸ HOA</t>
  </si>
  <si>
    <t>0500464546</t>
  </si>
  <si>
    <t>Lô 05 Cụm công nghiệp Lai Xá - Xã Kim Chung - Huyện Hoài Đức - Hà Nội.</t>
  </si>
  <si>
    <t>13/01/2023</t>
  </si>
  <si>
    <t>0107775793</t>
  </si>
  <si>
    <t>CÔNG TY TNHH DỊCH VỤ MÁY CÔNG TRÌNH ANH HUY</t>
  </si>
  <si>
    <t>Số 7, ngách 420/23, đường Kim Giang - Phường Đại Kim - Quận Hoàng Mai - Hà Nội.</t>
  </si>
  <si>
    <t>Mai hợi</t>
  </si>
  <si>
    <t>13/01/2020</t>
  </si>
  <si>
    <t>CÔNG TY TNHH THƯƠNG MẠI - SẢN XUẤT VÀ DỊCH VỤ HOÀNG NAM S.C.S</t>
  </si>
  <si>
    <t>Chị Bạch</t>
  </si>
  <si>
    <t>Số 41, tổ 19 - Phường Yên Sở - Quận Hoàng Mai - Hà Nội.</t>
  </si>
  <si>
    <t>0983516506</t>
  </si>
  <si>
    <t>CÔNG TY TNHH KỸ THUẬT XÂY DỰNG THÀNH AN</t>
  </si>
  <si>
    <t>Số 63 Quán Thánh - Phường Quán Thánh - Quận Ba Đình - Hà Nội.</t>
  </si>
  <si>
    <t>0103028991</t>
  </si>
  <si>
    <t>14/01/2020</t>
  </si>
  <si>
    <t>CÔNG TY TNHH SẢN XUẤT VÀ THƯƠNG MẠI TỔNG HỢP QUỲNH ANH</t>
  </si>
  <si>
    <t>Đội 7, thôn Vĩnh Ninh - Xã Vĩnh Quỳnh - Huyện Thanh Trì - Hà Nội.</t>
  </si>
  <si>
    <t xml:space="preserve"> '0106958554</t>
  </si>
  <si>
    <t>0107221812</t>
  </si>
  <si>
    <t>505 âu Cơ - Phường Nhật Tân - Quận Tây Hồ - Hà Nội.</t>
  </si>
  <si>
    <t>0339227878 Chị Ngọc</t>
  </si>
  <si>
    <t>CÔNG TY CỔ PHẦN ĐẦU TƯ THƯƠNG MẠI SHC VIỆT NAM</t>
  </si>
  <si>
    <t>14/01/2023</t>
  </si>
  <si>
    <t>TRƯỜNG MẦM NON TRÚC ĐÀO</t>
  </si>
  <si>
    <t xml:space="preserve"> 0401300314</t>
  </si>
  <si>
    <t>20 Lý Tự Trọng - Phường Thạch Thang - Quận Hải Châu - Đà Nẵng.</t>
  </si>
  <si>
    <t>Tổng cks + Hóa đơn 3tr</t>
  </si>
  <si>
    <t>Bù trừ mua hóa đơn</t>
  </si>
  <si>
    <t>CK Long - Trả vào cty</t>
  </si>
  <si>
    <t>0105336529</t>
  </si>
  <si>
    <t>TT Chúc</t>
  </si>
  <si>
    <t>TT TK Long 2,4tr</t>
  </si>
  <si>
    <t>CÔNG TY TNHH PHƯỚC XUÂN</t>
  </si>
  <si>
    <t>16/01/2020</t>
  </si>
  <si>
    <t xml:space="preserve"> '0400562846</t>
  </si>
  <si>
    <t>464/34 Trưng Nữ Vương, - Phường Hoà Thuận Đông - Quận Hải Châu - Đà Nẵng.</t>
  </si>
  <si>
    <t>16/01/2021</t>
  </si>
  <si>
    <t>20/01/2020</t>
  </si>
  <si>
    <t>1000349201</t>
  </si>
  <si>
    <t>CÔNG TY TNHH SẢN XUẤT - THƯƠNG MẠI NGỌC HƯNG</t>
  </si>
  <si>
    <t>Số 8, đường Quách Đình Bảo, cụm công nghiệp Phong Phú - Phường Tiền Phong - Thành phố Thái Bình - Thái Bình.</t>
  </si>
  <si>
    <t>0946222368 Chị Hà</t>
  </si>
  <si>
    <t>20/01/2021</t>
  </si>
  <si>
    <t>CÔNG TY TNHH THƯƠNG MẠI DỊCH VỤ THN HÀ NỘI</t>
  </si>
  <si>
    <t>0106573547</t>
  </si>
  <si>
    <t>Số 12, ngõ 575/38 Kim Mã - Phường Ngọc Khánh - Quận Ba Đình - Hà Nội.</t>
  </si>
  <si>
    <t>0941520998 Chị Loan</t>
  </si>
  <si>
    <t xml:space="preserve">CÔNG TY CỔ PHẦN VẬN TẢI VÀ XÂY DỰNG SỐ 1 HÀ NỘI </t>
  </si>
  <si>
    <t>21/01/2020</t>
  </si>
  <si>
    <t xml:space="preserve"> 0106458985</t>
  </si>
  <si>
    <t>Số 39, ngõ 383, đường Tam Chinh - Phường Hoàng Văn Thụ - Quận Hoàng Mai - Hà Nội.</t>
  </si>
  <si>
    <t>0349592460 Chị Tươi</t>
  </si>
  <si>
    <t>Chúc đóng tiền vào cty</t>
  </si>
  <si>
    <t>Hẹn 30/1 thanh toán</t>
  </si>
  <si>
    <t>0105139425</t>
  </si>
  <si>
    <t xml:space="preserve"> CÔNG TY TRÁCH NHIỆM HỮU HẠN CÔNG NGHỆ Ô TÔ T&amp;S</t>
  </si>
  <si>
    <t>21/1/2020</t>
  </si>
  <si>
    <t>Số 178, ngõ Xã Đàn 2, Nguyễn Lương Bằng - Phường Nam Đồng - Quận Đống đa - Hà Nội.</t>
  </si>
  <si>
    <t>CÔNG TY CỔ PHẦN DỊCH VỤ &amp; SẢN XUẤT BÁCH QUỐC VIỆT</t>
  </si>
  <si>
    <t>0108363288</t>
  </si>
  <si>
    <t>Số nhà 28/281 đường Tam Trinh - Phường Hoàng Văn Thụ - Quận Hoàng Mai - Hà Nội.</t>
  </si>
  <si>
    <t>CÔNG TY CỔ PHẦN BRODEV VIỆT NAM</t>
  </si>
  <si>
    <t>0105927916</t>
  </si>
  <si>
    <t>Số 65, ngõ 46 Phạm Ngọc Thạch - Phường Phương Liên - Quận Đống đa - Hà Nội.</t>
  </si>
  <si>
    <t>CÔNG TY TNHH MỘT THÀNH VIÊN THƯƠNG MẠI VI RE SIN</t>
  </si>
  <si>
    <t>0102241163</t>
  </si>
  <si>
    <t>Số 20, ngõ 106, phố Nguyễn Ngọc Nại - Phường Khương Mai - Quận Thanh Xuân - Hà Nội.</t>
  </si>
  <si>
    <t>CÔNG TY CỔ PHẦN ALPHA 94</t>
  </si>
  <si>
    <t>2801232334</t>
  </si>
  <si>
    <t>Thanh Hóa</t>
  </si>
  <si>
    <t>SN 72 Triệu Quốc Đạt - Phường Điện Biên - Thành phố Thanh Hoá - Thanh Hoá.</t>
  </si>
  <si>
    <t>CÔNG TY TNHH TAESUNG VINA</t>
  </si>
  <si>
    <t>0105819082</t>
  </si>
  <si>
    <t>Thôn 3 - Xã Lại Yên - Huyện Hoài Đức - Hà Nội.</t>
  </si>
  <si>
    <t>Hà Kim San</t>
  </si>
  <si>
    <t>CÔNG TY CỔ PHẦN THƯƠNG MẠI TRUYỀN THÔNG KẾT NỐI VIỆT</t>
  </si>
  <si>
    <t>0106919001</t>
  </si>
  <si>
    <t>Lô 8A, dãy N2 TT5 Bắc Linh Đàm - Phường Đại Kim - Quận Hoàng Mai - Hà Nội.</t>
  </si>
  <si>
    <t>Duyến: 0967533362</t>
  </si>
  <si>
    <t>VĂN PHÒNG ĐẠI DIỆN L.B.S LABORATORY LTD., PART TẠI ĐÀ NẴNG</t>
  </si>
  <si>
    <t>26/01/2020</t>
  </si>
  <si>
    <t>0401391047</t>
  </si>
  <si>
    <t>03 Nguyễn Đức Cảnh - Phường Thuận Phước - Quận Hải Châu - Đà Nẵng.</t>
  </si>
  <si>
    <t>Chuyển tk Chúc</t>
  </si>
  <si>
    <t>CÔNG TY TNHH XÂY DỰNG VÀ PHÁT TRIỂN THƯƠNG MẠI LỘC TÍN</t>
  </si>
  <si>
    <t>0108705284</t>
  </si>
  <si>
    <t>Tầng 2 Số 125 phố Thanh Nhàn - Phường Quỳnh Lôi - Quận Hai Bà Trưng - Hà Nội.</t>
  </si>
  <si>
    <t>CÔNG TY TNHH XUẤT NHẬP KHẨU CƯỜNG THỊNH</t>
  </si>
  <si>
    <t>Thôn Trát Cầu - Xã Tiền Phong - Huyện Thường Tín - Hà Nội.</t>
  </si>
  <si>
    <t>chị Loan thuế Thường Tín</t>
  </si>
  <si>
    <t>0500553299</t>
  </si>
  <si>
    <t>Chị Hướng 0983795966</t>
  </si>
  <si>
    <t xml:space="preserve">CÔNG TY TNHH HƯNG PHÚ </t>
  </si>
  <si>
    <t xml:space="preserve"> 0700258519</t>
  </si>
  <si>
    <t>Khu tập thể công ty cổ phần giống cây trồng Trung ương - Phường Đồng Văn - Huyện Duy Tiên - Hà Nam.</t>
  </si>
  <si>
    <t>Hà Nam</t>
  </si>
  <si>
    <t xml:space="preserve">Đã TT Nacencomm </t>
  </si>
  <si>
    <t xml:space="preserve">TT Nacemcomm </t>
  </si>
  <si>
    <t>TT Nacencomm 5/2</t>
  </si>
  <si>
    <t>TT Nacencomm đã báo Tuyên</t>
  </si>
  <si>
    <t>TT Nacencomm 6/2</t>
  </si>
  <si>
    <t>CÔNG TY CỔ PHẦN MERTRANSLUX VIỆT NAM</t>
  </si>
  <si>
    <t>Số nhà 180, ngõ 264, đường Ngọc Thụy - Phường Ngọc Thuỵ - Quận Long Biên - Hà Nội.</t>
  </si>
  <si>
    <t>0375495926 Chị Hà</t>
  </si>
  <si>
    <t>Đã TT Long trừ dần 2,5tr</t>
  </si>
  <si>
    <t>TT Nacencomm  7/2/2020</t>
  </si>
  <si>
    <t>Số nhà 20, ngõ 32A, phố Hào Nam - Phường ô Chợ Dừa - Quận Đống đa - Hà Nội.</t>
  </si>
  <si>
    <t>31/1/2020</t>
  </si>
  <si>
    <t>30/1/2020</t>
  </si>
  <si>
    <t>CÔNG TY TNHH PHÁT TRIỂN THƯƠNG MẠI DỊCH VỤ SAKE VIỆT NAM</t>
  </si>
  <si>
    <t>0106289494</t>
  </si>
  <si>
    <t>Số 35 A, tổ 2 - Phường Hoàng Văn Thụ - Quận Hoàng Mai - Hà Nội.</t>
  </si>
  <si>
    <t>CÔNG TY TNHH PHÁT TRIỂN THƯƠNG MẠI KỸ THUẬT HỒNG PHÁT</t>
  </si>
  <si>
    <t>Đội 5, Thôn Đông Lao - Xã Đông La - Huyện Hoài Đức - Hà Nội.</t>
  </si>
  <si>
    <t>CÔNG TY TNHH ĐẦU TƯ THIẾT BỊ Y TẾ VÀ XUẤT NHẬP KHẨU SAO KIM</t>
  </si>
  <si>
    <t>Hạnh '0904539330</t>
  </si>
  <si>
    <t>Số 92 Thịnh Hào 3 - Phường Hàng Bột - Quận Đống đa - Hà Nội.</t>
  </si>
  <si>
    <t>0105500137</t>
  </si>
  <si>
    <t>CÔNG TY CỔ PHẦN DƯỢC PHẨM HOÀNG MAI</t>
  </si>
  <si>
    <t>0102183916</t>
  </si>
  <si>
    <t>Số 2, ngõ 120, đường Hoàng Mai - Phường Hoàng Văn Thụ - Quận Hoàng Mai - Hà Nội.</t>
  </si>
  <si>
    <t>Số 66, ngõ 204, phố Hồng Mai, - Phường Quỳnh Lôi - Quận Hai Bà Trưng - Hà Nội.</t>
  </si>
  <si>
    <t>anh Trọng WE24</t>
  </si>
  <si>
    <t>CÔNG TY CỔ PHẦN XÂY DỰNG VÀ THƯƠNG MẠI LỘC TÍN</t>
  </si>
  <si>
    <t>0104603531</t>
  </si>
  <si>
    <t>Số 324, đường Kim Giang - Phường Đại Kim - Quận Hoàng Mai - Hà Nội.</t>
  </si>
  <si>
    <t>Chúc liên lạc</t>
  </si>
  <si>
    <t>Chị Tuyết ĐÔng Nam</t>
  </si>
  <si>
    <t>CÔNG TY CỔ PHẦN MINH VIỆT TOÀN CẦU</t>
  </si>
  <si>
    <t>0105412258</t>
  </si>
  <si>
    <t>A208-BT2B, khu nhà ở để bán Mễ Trì - Phường Mễ Trì - Quận Nam Từ Liêm - Hà Nội.</t>
  </si>
  <si>
    <t>TT Nacencomm 7/2/2020</t>
  </si>
  <si>
    <t>0401923291</t>
  </si>
  <si>
    <t>89 Nguyễn Thị Minh Khai - Phường Hải Châu I - Quận Hải Châu - Đà Nẵng.</t>
  </si>
  <si>
    <t>TRUNG TÂM NGOẠI NGỮ INTEGRATION KEY (IK)</t>
  </si>
  <si>
    <t xml:space="preserve"> CÔNG TY CỔ PHẦN GIÁO DỤC ICS</t>
  </si>
  <si>
    <t>0401977339</t>
  </si>
  <si>
    <t>Hương: 0917979799</t>
  </si>
  <si>
    <t>Chuyển tiền Nacencomm 7/2</t>
  </si>
  <si>
    <t>Chuyển tiền Nacencomm 16/1</t>
  </si>
  <si>
    <t>TT Nacencomm 30/12</t>
  </si>
  <si>
    <t>CÔNG TY TNHH SẢN XUẤT CÔNG NGHIỆP VÀ THƯƠNG MẠI CƠ KHÍ AN PHÚC</t>
  </si>
  <si>
    <t>2500612702</t>
  </si>
  <si>
    <t>Thôn Đầu Vai - Xã Minh Quang - Huyện Tam đảo - Vĩnh Phúc.</t>
  </si>
  <si>
    <t>0109031278</t>
  </si>
  <si>
    <t>CÔNG TY CỔ PHẦN THƯƠNG MẠI GOAL VIỆT NAM</t>
  </si>
  <si>
    <t>tầng 6 tòa nhà Việt á, số 9 phố Duy Tân, - Phường Dịch Vọng Hậu - Quận Cầu Giấy - Hà Nội.</t>
  </si>
  <si>
    <t>CÔNG TY TNHH THƯƠNG MẠI QUANG KHÔI</t>
  </si>
  <si>
    <t>0109037449</t>
  </si>
  <si>
    <t>Người làm</t>
  </si>
  <si>
    <t>Số 12 ngách 92 ngõ 80 Đường Xuân Phương - Phường Phương Canh - Quận Nam Từ Liêm - Hà Nội.</t>
  </si>
  <si>
    <t xml:space="preserve">CÔNG TY TNHH KINH DOANH GIẢI TRÍ JIMA </t>
  </si>
  <si>
    <t>0105703049</t>
  </si>
  <si>
    <t>Số 07 dãy C13 khu đô thị Mỹ Đình I - Phường Cầu Diễn - Quận Nam Từ Liêm - Hà Nội.</t>
  </si>
  <si>
    <t>CÔNG TY TNHH KINH DOANH GIẢI TRÍ JIMA</t>
  </si>
  <si>
    <t>Huệ 0946533802</t>
  </si>
  <si>
    <t>3801202395</t>
  </si>
  <si>
    <t>Đức Tuyên</t>
  </si>
  <si>
    <t>CÔNG TY TNHH CÔNG NGHIỆP HONG SHENG (VIỆT NAM)</t>
  </si>
  <si>
    <t>1 phần lô A1, A3, A4 và Lô A2 của Khu Công Nghiệp Bắc Đồng P - Xã Tiến Hưng - Thành Phố Đồng Xoài - Bình Phước.</t>
  </si>
  <si>
    <t>0102353156</t>
  </si>
  <si>
    <t>CÔNG TY TNHH THƯƠNG MẠI VÀ DỊCH VỤ VINH HOA</t>
  </si>
  <si>
    <t>Số nhà 8, ngõ 250/51, tổ 25, đường Kim Giang - Phường Đại Kim - Quận Hoàng Mai - Hà Nội.</t>
  </si>
  <si>
    <t>CÔNG TY CỔ PHẦN HISTORY TEA</t>
  </si>
  <si>
    <t xml:space="preserve"> 0401935882</t>
  </si>
  <si>
    <t>Tra tea</t>
  </si>
  <si>
    <t>0108907435</t>
  </si>
  <si>
    <t>CÔNG TY TNHH ATYPIQUE VIETNAM</t>
  </si>
  <si>
    <t>Tầng 29, Tòa Đông, Tòa nhà Lotte Center Hà Nội, 54 Liễu Giai - Phường Cống Vị - Quận Ba Đình - Hà Nội.</t>
  </si>
  <si>
    <t>0400511898</t>
  </si>
  <si>
    <t>CÔNG TY CỔ PHẦN D.T.T.P</t>
  </si>
  <si>
    <t>180 Hải Phòng - Phường Tân Chính - Quận Thanh Khê - Đà Nẵng.</t>
  </si>
  <si>
    <t>Đại lý chị LAN ANH</t>
  </si>
  <si>
    <t>0104806891</t>
  </si>
  <si>
    <t>CÔNG TY CỔ PHẦN THIẾT BỊ ĐIỆN SƠN ĐÔNG</t>
  </si>
  <si>
    <t>Thôn Cương Ngô - Xã Tứ Hiệp - Huyện Thanh Trì - Hà Nội.</t>
  </si>
  <si>
    <t>TT Long (đã trừ 40%)</t>
  </si>
  <si>
    <t>TT Nacencomm 11.2</t>
  </si>
  <si>
    <t>0108205563</t>
  </si>
  <si>
    <t>CÔNG TY TNHH KINH DOANH THƯƠNG MẠI VÀ DỊCH VỤ ĐỨC DŨNG</t>
  </si>
  <si>
    <t>Thôn Chiêu - Xã Sơn Đồng - Huyện Hoài Đức - Hà Nội.</t>
  </si>
  <si>
    <t>CÔNG TY TNHH DỊCH VỤ TƯ VẤN TRƯỜNG THỊNH</t>
  </si>
  <si>
    <t xml:space="preserve"> 0107965000</t>
  </si>
  <si>
    <t>Phòng 407 lô D17/D6 khu đô thị mới Cầu Giấy - Phường Dịch Vọng - Quận Cầu Giấy - Hà Nội.</t>
  </si>
  <si>
    <t>HỢP TÁC XÃ MỘC VÀ DỊCH VỤ VẬN TẢI XUÂN CƯỜNG</t>
  </si>
  <si>
    <t>CTV Ánh</t>
  </si>
  <si>
    <t>5700104162</t>
  </si>
  <si>
    <t>Tổ 4, Khu 3, Phường Hà Tu - - Thành phố Hạ Long - Quảng Ninh.</t>
  </si>
  <si>
    <t>Ánh</t>
  </si>
  <si>
    <t>TT Nacencomm 2,6tr</t>
  </si>
  <si>
    <t>Chuyển tiền Nacencomm 20.01</t>
  </si>
  <si>
    <t>Chuyển tiền Nacencomm 03.2</t>
  </si>
  <si>
    <t>Chuyển tiền Nacencomm 22.01</t>
  </si>
  <si>
    <t xml:space="preserve"> CÔNG TY TNHH ĐẦU TƯ PHÁT TRIỂN GIÁO DỤC ĐĂNG DƯƠNG</t>
  </si>
  <si>
    <t>0105161156</t>
  </si>
  <si>
    <t>Số 6, ngách 199/10, phố Thụy Khuê - Phường Thuỵ Khuê - Quận Tây Hồ - Hà Nội.</t>
  </si>
  <si>
    <t>18/2/2023</t>
  </si>
  <si>
    <t>0357098549 Chị Mai</t>
  </si>
  <si>
    <t xml:space="preserve"> 0109084985</t>
  </si>
  <si>
    <t>14/02/2020</t>
  </si>
  <si>
    <t>18/02/2020</t>
  </si>
  <si>
    <t>CÔNG TY TNHH KINH DOANH THƯƠNG MẠI DỊCH VỤ TU - ML</t>
  </si>
  <si>
    <t>Số nhà 146 D8 Tổ 10, - Thị trấn Đông Anh - Huyện Đông Anh - Hà Nội.</t>
  </si>
  <si>
    <t>Hanh</t>
  </si>
  <si>
    <t>14/02/2023</t>
  </si>
  <si>
    <t>263 Nguyễn Chí Thanh - Phường Phước Ninh - Quận Hải Châu - Đà Nẵng.</t>
  </si>
  <si>
    <t>CÔNG TY TNHH MERKAT</t>
  </si>
  <si>
    <t>0401689228</t>
  </si>
  <si>
    <t>0106170435</t>
  </si>
  <si>
    <t>17/02/2020</t>
  </si>
  <si>
    <t>CÔNG TY TNHH PHÁT TRIỂN CÔNG NGHỆ P&amp;S VIỆT NAM</t>
  </si>
  <si>
    <t>Số nhà 48, ngõ 241, phố Chợ Khâm Thiên - Phường Phương Liên - Quận Đống đa - Hà Nội.</t>
  </si>
  <si>
    <t>0106754039</t>
  </si>
  <si>
    <t>18/2/2020</t>
  </si>
  <si>
    <t>CÔNG TY CỔ PHẦN THƯƠNG MẠI VÀ XUẤT NHẬP KHẨU BEELIFE VIỆT NAM</t>
  </si>
  <si>
    <t>Số 25 - LK34. KĐT Vân Canh - Xã Vân Canh - Huyện Hoài Đức - Hà Nội.</t>
  </si>
  <si>
    <t>CÔNG TY CỔ PHẦN HÀM NGHI</t>
  </si>
  <si>
    <t xml:space="preserve"> 0101632950</t>
  </si>
  <si>
    <t>Số nhà 34, ngõ 97 đường Nguyễn Chí Thanh - Phường Láng Hạ - Quận Đống đa - Hà Nội.</t>
  </si>
  <si>
    <t>0107806836</t>
  </si>
  <si>
    <t>CÔNG TY TNHH XÂY DỰNG VÀ DỊCH VỤ VIỄN THÔNG PHÚ THANH</t>
  </si>
  <si>
    <t>Thoa kế toán</t>
  </si>
  <si>
    <t>Nhà số 1, ngõ nhà Văn Hóa, thôn Phú Vinh - Xã An Khánh - Huyện Hoài Đức - Hà Nội.</t>
  </si>
  <si>
    <t>Đã TT Nacencomm 480K</t>
  </si>
  <si>
    <t xml:space="preserve"> CÔNG TY TNHH CÔNG NGHIỆP DŨNG THỊNH VIỆT NAM</t>
  </si>
  <si>
    <t>Lô C5, Khu công nghiệp Khánh Phú - Xã Khánh Phú - Huyện Yên Khánh - Ninh Bình.</t>
  </si>
  <si>
    <t xml:space="preserve"> 2700884767</t>
  </si>
  <si>
    <t>Anh Tâm: 0971111784</t>
  </si>
  <si>
    <t>CÔNG TY CỔ PHẦN ĐẦU TƯ TLK VIỆT NAM</t>
  </si>
  <si>
    <t>0109020526</t>
  </si>
  <si>
    <t>Số nhà 24, ngách 1, ngõ 46 đường Phạm Ngọc Thạch, - Phường Phương Liên - Quận Đống đa - Hà Nội.</t>
  </si>
  <si>
    <t>CÔNG TY CỔ PHẦN CÔNG NGHỆ VÀ XÂY DỰNG PHÚC LỘC</t>
  </si>
  <si>
    <t xml:space="preserve">0900822891 </t>
  </si>
  <si>
    <t>Số 285 - Phường Bần Yên Nhân - Thị xã Mỹ Hào - Hưng Yên.</t>
  </si>
  <si>
    <t>0977429450 Chi phương</t>
  </si>
  <si>
    <t xml:space="preserve"> 0100108825</t>
  </si>
  <si>
    <t>CÔNG TY CỔ PHẦN NHỰA CAO CẤP HÀNG KHÔNG</t>
  </si>
  <si>
    <t>Ngõ 200 Nguyễn Sơn - Phường Bồ Đề - Quận Long Biên - Hà Nội.</t>
  </si>
  <si>
    <t>19/02/2023</t>
  </si>
  <si>
    <t>TT Nacencomm 20/02. Trang Check</t>
  </si>
  <si>
    <t>TT Nacencomm 20/02/</t>
  </si>
  <si>
    <t>TT Nacencomm 14.2</t>
  </si>
  <si>
    <t>TT Nacencomm 2.5tr</t>
  </si>
  <si>
    <t>Chị Bính Đường Bộ 0372447266</t>
  </si>
  <si>
    <t>21/02/2020</t>
  </si>
  <si>
    <t xml:space="preserve"> 0103925737</t>
  </si>
  <si>
    <t>Số nhà 28 Lô 14B đường Trung Yên 11 - Phường Trung Hoà - Quận Cầu Giấy - Hà Nội.</t>
  </si>
  <si>
    <t>21/02/2021</t>
  </si>
  <si>
    <t>0977570075 Chị Hạnh</t>
  </si>
  <si>
    <t>CÔNG TY TNHH THƯƠNG MẠI VÀ DỊCH VỤ KỸ THUẬT HỒNG HÀ</t>
  </si>
  <si>
    <t>Chị Hiền An Hương</t>
  </si>
  <si>
    <t>0101401093</t>
  </si>
  <si>
    <t>Lô 39, ngõ 3 đường Liên Cơ - Phường Cầu Diễn - Quận Nam Từ Liêm - Hà Nội.</t>
  </si>
  <si>
    <t>Anh Hoàng: 0904181199</t>
  </si>
  <si>
    <t>CÔNG TY TNHH TƯ VẤN TMDV PHÚC VINH</t>
  </si>
  <si>
    <t xml:space="preserve"> 2301108970</t>
  </si>
  <si>
    <t>Khu đô thị Bắc Từ Sơn - Phường Tân Hồng - Thị xã Từ Sơn - Bắc Ninh.</t>
  </si>
  <si>
    <t>0101959265</t>
  </si>
  <si>
    <t>CÔNG TY TNHH THIẾT BỊ THUỶ LỰC TÀU THUỶ</t>
  </si>
  <si>
    <t>Phòng 11, P26, đường Nguyễn An Ninh - Phường Tương Mai - Quận Hoàng Mai - Hà Nội.</t>
  </si>
  <si>
    <t>Linh</t>
  </si>
  <si>
    <t>0100284482</t>
  </si>
  <si>
    <t>Lô 2- BT1 Khu đô thị mới Mễ Trì Hạ - Phường Mễ Trì - Quận Nam Từ Liêm - Hà Nội.</t>
  </si>
  <si>
    <t>Công Ty TNHH Sản Xuất Và Thương Mại Bảo Quang</t>
  </si>
  <si>
    <t>chị Hạnh 0977600868</t>
  </si>
  <si>
    <t>0108804197</t>
  </si>
  <si>
    <t xml:space="preserve">CÔNG TY CỔ PHẦN VTORY </t>
  </si>
  <si>
    <t>Số 64 ngõ 49 Huỳnh Thúc Kháng - Phường Láng Hạ - Quận Đống đa - Hà Nội.</t>
  </si>
  <si>
    <t>27/2/2020</t>
  </si>
  <si>
    <t>CÔNG TY CỔ PHẦN VẬT LIỆU XÂY DỰNG KHANG GIA</t>
  </si>
  <si>
    <t>Số nhà 64, Ngõ 7, Thôn An Bình - Xã An Khánh - Huyện Hoài Đức - Hà Nội.</t>
  </si>
  <si>
    <t>khanggia.pvc@gmail.com</t>
  </si>
  <si>
    <t>0108043337</t>
  </si>
  <si>
    <t>CÔNG TY TNHH HOÀI ĐÔ</t>
  </si>
  <si>
    <t>0400473265</t>
  </si>
  <si>
    <t>88 Hoàng Thế Thiện - Phường Hoà Xuân - Quận Cẩm Lệ - Đà Nẵng.</t>
  </si>
  <si>
    <t>CÔNG TY CỔ PHẦN ĐẦU TƯ VÀ THƯƠNG MẠI HÀ MINH</t>
  </si>
  <si>
    <t>0106545860</t>
  </si>
  <si>
    <t>Số 14 Ngõ 43 Đường Xã Đàn - Phường Phương Liên - Quận Đống đa - Hà Nội.</t>
  </si>
  <si>
    <t>Số 283 lô HK1 khu đô thị ven sông Lạch Tray - Phường Vĩnh Niệm - Quận Lê Chân - Hải Phòng.</t>
  </si>
  <si>
    <t>Hải Phòng</t>
  </si>
  <si>
    <t>4500277776</t>
  </si>
  <si>
    <t>CÔNG TY CỔ PHẦN ĐỊA CHẤT - KHOÁNG SẢN VIỆT NAM</t>
  </si>
  <si>
    <t>Cụm công nghiệp Thành Hải - - TP. Phan Rang-Tháp Chàm - Ninh Thuận.</t>
  </si>
  <si>
    <t>0947990679 Chị Oanh</t>
  </si>
  <si>
    <t>28/2/2023</t>
  </si>
  <si>
    <t>28/02/2020</t>
  </si>
  <si>
    <t>Danh sách gia hạn</t>
  </si>
  <si>
    <t>CÔNG TY CỔ PHẦN ĐẦU TƯ XÂY DỰNG VÀ PHÁT TRIỂN M&amp;E</t>
  </si>
  <si>
    <t>Số nhà 12, ngõ 141, ngách 141/49 Phố Giáp Nhị - Phường Thịnh Liệt - Quận Hoàng Mai - Hà Nội.</t>
  </si>
  <si>
    <t>0108464977</t>
  </si>
  <si>
    <t>Trang kế toán</t>
  </si>
  <si>
    <t>14/2/2020</t>
  </si>
  <si>
    <t>CÔNG TY CỔ PHẦN SAO VÀNG</t>
  </si>
  <si>
    <t>96 Tố Hữu - Phường Hoà Cường Nam - Quận Hải Châu - Đà Nẵng.</t>
  </si>
  <si>
    <t>0400457464</t>
  </si>
  <si>
    <t>27/02/2020</t>
  </si>
  <si>
    <t>Lô E3, Cụm CN Đa nghề Đông Thọ - Xã Đông Thọ - Huyện Yên Phong - Bắc Ninh.</t>
  </si>
  <si>
    <t xml:space="preserve"> 2300878624</t>
  </si>
  <si>
    <t>Trinh Hue - Vận tải khánh ngọc</t>
  </si>
  <si>
    <t>tt nacencomm</t>
  </si>
  <si>
    <t xml:space="preserve">ck long </t>
  </si>
  <si>
    <t>CK Nhân viên</t>
  </si>
  <si>
    <t>CÔNG TY CỔ PHẦN ĐẠI THÀNH</t>
  </si>
  <si>
    <t>Thôn Vĩnh Bảo - Xã Vĩnh Khúc - Huyện Văn Giang - Hưng Yên.</t>
  </si>
  <si>
    <t>TRƯỜNG MẦM NON 19/5</t>
  </si>
  <si>
    <t xml:space="preserve"> 0401292864</t>
  </si>
  <si>
    <t>18 Lê Thánh Tôn - Phường Hải Châu I - Quận Hải Châu - Đà Nẵng.</t>
  </si>
  <si>
    <t>28/2/2020</t>
  </si>
  <si>
    <t>CÔNG TY TNHH SỰ KIỆN VÀ TRUYỀN THÔNG DOMICA</t>
  </si>
  <si>
    <t>0108764748</t>
  </si>
  <si>
    <t>Liền Kề 20 - Bắc Hà C14 - Phường Trung Văn - Quận Nam Từ Liêm - Hà Nội.</t>
  </si>
  <si>
    <t>Chị hằng 0943500397</t>
  </si>
  <si>
    <t>0106150622</t>
  </si>
  <si>
    <t>CÔNG TY CỔ PHẦN THIẾT KẾ VÀ XÂY DỰNG PHÁT TRIỂN TRƯỜNG SƠN</t>
  </si>
  <si>
    <t>Đội 5 thôn Đông Lao - Xã Đông La - Huyện Hoài Đức - Hà Nội.</t>
  </si>
  <si>
    <t>29/02/2020</t>
  </si>
  <si>
    <t>CÔNG TY CỔ PHẦN XÂY DỰNG THƯƠNG MẠI GOLDSTAR VIỆT NAM</t>
  </si>
  <si>
    <t>0106083398</t>
  </si>
  <si>
    <t>Số 2 phố Cầu Cốc, tổ dân phố Dộc - Phường Tây Mỗ - Quận Nam Từ Liêm - Hà Nội.</t>
  </si>
  <si>
    <t>Hà Kimsan</t>
  </si>
  <si>
    <t>Hưng Yên</t>
  </si>
  <si>
    <t>0900421346</t>
  </si>
  <si>
    <t xml:space="preserve"> CÔNG TY TNHH THƯƠNG MẠI VÀ DU LỊCH BÌNH DƯƠNG</t>
  </si>
  <si>
    <t>0101643977</t>
  </si>
  <si>
    <t>Số 7, tổ 4 - Phường Cầu Diễn - Quận Nam Từ Liêm - Hà Nội.</t>
  </si>
  <si>
    <t xml:space="preserve"> CÔNG TY CỔ PHẦN NITODA</t>
  </si>
  <si>
    <t>Số nhà 33, Tổ 22, Phố Minh Khai - Phường Minh Khai - Quận Hai Bà Trưng - Hà Nội.</t>
  </si>
  <si>
    <t>CÔNG TY TNHH CÔNG NGHỆ SECUREMETRIC</t>
  </si>
  <si>
    <t>Phòng 203B, Tòa nhà số 22 phố Láng Hạ - Phường Láng Hạ - Quận Đống đa - Hà Nội.</t>
  </si>
  <si>
    <t>0103682805</t>
  </si>
  <si>
    <t>CÔNG TY CỔ PHẦN ĐẦU TƯ XÂY DỰNG VÀ THƯƠNG MẠI ĐỨC HÙNG</t>
  </si>
  <si>
    <t>Chị Dương Hoàng mai</t>
  </si>
  <si>
    <t>Chị Nhung: 0987987231</t>
  </si>
  <si>
    <t>0106923488</t>
  </si>
  <si>
    <t>Số 3A, ngách 168/67 ngõ 168, đường Kim Giang - Phường Đại Kim - Quận Hoàng Mai - Hà Nội.</t>
  </si>
  <si>
    <t>0101419929</t>
  </si>
  <si>
    <t>CÔNG TY TNHH THƯƠNG MẠI DỊCH VỤ VÀ SẢN XUẤT DA CHU</t>
  </si>
  <si>
    <t>TT Viện NCCK � TDP số 10, đường Lê Đức Thọ - Phường Mỹ Đình 2 - Quận Nam Từ Liêm - Hà Nội.</t>
  </si>
  <si>
    <t>Chị Phương: 0933445589</t>
  </si>
  <si>
    <t>CÔNG TY CỔ PHẦN XÂY DỰNG - THƯƠNG MẠI CÁT THÀNH</t>
  </si>
  <si>
    <t>Xóm Xuân Sen - Xã Thủy Xuân Tiên - Huyện Chương Mỹ - Hà Nội.</t>
  </si>
  <si>
    <t>Chị Hà Cát Thành</t>
  </si>
  <si>
    <t>CÔNG TY CỔ PHẦN KIẾN TRÚC VÀ NỘI THẤT HDF</t>
  </si>
  <si>
    <t>0401704405</t>
  </si>
  <si>
    <t>CÔNG TY CỔ PHẦN ĐẦU TƯ THƯƠNG MẠI XÂY DỰNG LIÊN VIỆT</t>
  </si>
  <si>
    <t>long</t>
  </si>
  <si>
    <t>0309532666</t>
  </si>
  <si>
    <t>tầng 1, tòa nhà Liên Việt, số 334 Bình Lợi - Phường 13 - Quận Bình Thạnh - TP Hồ Chí Minh.</t>
  </si>
  <si>
    <t>0908573480 Chi Hương</t>
  </si>
  <si>
    <t>Số nhà 09 - TT8 khu đô thị Văn Phú - Phường Phú La - Quận Hà Đông - Hà Nội.</t>
  </si>
  <si>
    <t>CÔNG TY TNHH ĐẦU TƯ VÀ THƯƠNG MẠI QUÀ TẶNG THỦ ĐÔ</t>
  </si>
  <si>
    <t>0108630293</t>
  </si>
  <si>
    <t>Tầng 1, Số 26b, ngách 108 phố Triều Khúc - Xã Tân Triều - Huyện Thanh Trì - Hà Nội.</t>
  </si>
  <si>
    <t>0107620493</t>
  </si>
  <si>
    <t>CÔNG TY TNHH KINH DOANH VÀ DỊCH VỤ DUY PHÁT</t>
  </si>
  <si>
    <t>Lê Bình -HOKUYO</t>
  </si>
  <si>
    <t>Khu 1 - Xã Đại Thịnh - Huyện Mê Linh - Hà Nội.</t>
  </si>
  <si>
    <t>0105461544</t>
  </si>
  <si>
    <t>CÔNG TY CỔ PHẦN THƯƠNG MẠI VÀ DỊCH VỤ TBT HÀ NỘI</t>
  </si>
  <si>
    <t>Thôn Bảo Tháp - Xã Kim Hoa - Huyện Mê Linh - Hà Nội.</t>
  </si>
  <si>
    <t>0369801189 Chị Huyền</t>
  </si>
  <si>
    <t>Tường Vi</t>
  </si>
  <si>
    <t>28 NGuyễn Giản Thanh - Phường An Khê - Quận Thanh Khê - Đà Nẵng.</t>
  </si>
  <si>
    <t>CÔNG TY CỔ PHẦN THỰC PHẨM MỸ ĐÌNH</t>
  </si>
  <si>
    <t>0106386931</t>
  </si>
  <si>
    <t>Số 23 ngách 402/28 đường Mỹ Đình - Phường Mỹ Đình 1 - Quận Nam Từ Liêm - Hà Nội.</t>
  </si>
  <si>
    <t>Anh Toản: 0903213530</t>
  </si>
  <si>
    <t>CÔNG TY TNHH THƯƠNG MẠI VÀ CÔNG NGHIỆP PHÚ SỸ</t>
  </si>
  <si>
    <t>0105042293</t>
  </si>
  <si>
    <t>Thôn Nhân Hiền - Xã Hiền Giang - Huyện Thường Tín - Hà Nội.</t>
  </si>
  <si>
    <t>GĐ Phú: 0986619381</t>
  </si>
  <si>
    <t>3701983353</t>
  </si>
  <si>
    <t>CÔNG TY TNHH CÔNG NGHIỆP ĐỒNG GIA</t>
  </si>
  <si>
    <t>Số 398/2A, Khu phố Đông An - PhườngTân Đông Hiệp - Thành phố Dĩ An - Bình Dương.</t>
  </si>
  <si>
    <t>Đã TT Nacencomm 2400K</t>
  </si>
  <si>
    <t>TT Nacencomm 2907300</t>
  </si>
  <si>
    <t>TT Nacencomm 800k</t>
  </si>
  <si>
    <t>Đã TT Nacencomm 2610K</t>
  </si>
  <si>
    <t>TT Nacencomm2907300</t>
  </si>
  <si>
    <t>TT Nacencomm 2407300</t>
  </si>
  <si>
    <t>TT Nacencomm 2307300</t>
  </si>
  <si>
    <t>TT Nacencomm 3110800</t>
  </si>
  <si>
    <t>CÔNG TY TNHH HÓA CHẤT MEGA VIỆT NAM</t>
  </si>
  <si>
    <t xml:space="preserve"> 0106007414</t>
  </si>
  <si>
    <t>Số nhà 58, ngõ 154, đường Đình Thôn - Phường Mỹ Đình 1 - Quận Nam Từ Liêm - Hà Nội.</t>
  </si>
  <si>
    <t>0109058329</t>
  </si>
  <si>
    <t>CÔNG TY TNHH ĐẦU TƯ THƯƠNG MẠI GỖ VIET NET</t>
  </si>
  <si>
    <t>TT3 -15 Khu đô thị Đại Kim, - Phường Đại Kim - Quận Hoàng Mai - Hà Nội.</t>
  </si>
  <si>
    <t>CÔNG TY TNHH DỊCH VỤ LH VIỆT NAM</t>
  </si>
  <si>
    <t xml:space="preserve"> 0109073609</t>
  </si>
  <si>
    <t>Số nhà 2, khu G2B - Phường Thành Công - Quận Ba Đình - Hà Nội.</t>
  </si>
  <si>
    <t>0369760959</t>
  </si>
  <si>
    <t>CÔNG TY TNHH THỊNH KHANG</t>
  </si>
  <si>
    <t>Số 3, ngõ 344/83/14 Ngọc Thụy - Phường Ngọc Thuỵ - Quận Long Biên - Hà Nội.</t>
  </si>
  <si>
    <t>0102590220</t>
  </si>
  <si>
    <t>CÔNG TY TNHH VIỆT- A.R.T</t>
  </si>
  <si>
    <t>Số 7 ngõ 412 phố Ngọc Thuỵ - Phường Ngọc Thuỵ - Quận Long Biên - Hà Nội.</t>
  </si>
  <si>
    <t>0776359942 Chị Huyền</t>
  </si>
  <si>
    <t xml:space="preserve">CÔNG TY TNHH SẢN XUẤT THƯƠNG MẠI DỊCH VỤ XÂY DỰNG TRẦN GIA PHÁT </t>
  </si>
  <si>
    <t>0312476242</t>
  </si>
  <si>
    <t>111/12 đường Trung Mỹ Tây 2A - phường Trung Mỹ Tây - Quận 12 - TP Hồ Chí Minh.</t>
  </si>
  <si>
    <t>CÔNG TY TNHH VẬT TƯ KHOA HỌC KỸ THUẬT THÁI BÌNH</t>
  </si>
  <si>
    <t>Thành</t>
  </si>
  <si>
    <t>0105943925</t>
  </si>
  <si>
    <t>Số 5 tổ 7 - Phường Phú Lương - Quận Hà Đông - Hà Nội.</t>
  </si>
  <si>
    <t>CÔNG TY TNHH NHỰA QUỐC TẾ ANH TÚ</t>
  </si>
  <si>
    <t>0104283377</t>
  </si>
  <si>
    <t>Số 15C, ngõ 639 Hoàng Hoa Thám - Phường Vĩnh Phúc - Quận Ba Đình - Hà Nội.</t>
  </si>
  <si>
    <t xml:space="preserve">Hà My: </t>
  </si>
  <si>
    <t>CÔNG TY TNHH MỘT THÀNH VIÊN NGỌC LÂM PHƯỚC TÂN</t>
  </si>
  <si>
    <t>3600953828</t>
  </si>
  <si>
    <t>Tổ 9, ấp Tân Cang - Phường Phước Tân - Thành phố Biên Hoà - Đồng Nai.</t>
  </si>
  <si>
    <t>0106558651</t>
  </si>
  <si>
    <t>CÔNG TY TNHH TƯ VẤN ĐẶNG NGUYỄN</t>
  </si>
  <si>
    <t>Số 117, ngõ 241 Phố chợ Khâm Thiên - Phường Phương Liên - Quận Đống đa - Hà Nội.</t>
  </si>
  <si>
    <t>0107361496</t>
  </si>
  <si>
    <t>CÔNG TY TNHH MỘT THÀNH VIÊN LINH ĐÀM</t>
  </si>
  <si>
    <t>O2 - N7 - TT5 Bắc Linh Đàm - Phường Đại Kim - Quận Hoàng Mai - Hà Nội.</t>
  </si>
  <si>
    <t>Chị Hiền Hoàng Mai</t>
  </si>
  <si>
    <t>DOANH NGHIỆP TƯ NHÂN CÁT LÂM</t>
  </si>
  <si>
    <t>0400464775</t>
  </si>
  <si>
    <t>Lô 28 Đường Phan Thành Tài - Phường Bình Thuận - Quận Hải Châu - Đà Nẵng.</t>
  </si>
  <si>
    <t>DOANH NGHIỆP TƯ NHÂN HÀ THƯ</t>
  </si>
  <si>
    <t>0800740701</t>
  </si>
  <si>
    <t>Số 5/43, đường Hoàng Diệu - Phường Cẩm Thượng - Thành phố Hải Dương - Hải Dương.</t>
  </si>
  <si>
    <t>CÔNG TY CỔ PHẦN ĐẦU TƯ MTT VIỆT NAM</t>
  </si>
  <si>
    <t>Long</t>
  </si>
  <si>
    <t>2300933120</t>
  </si>
  <si>
    <t>Số 1, Khu Sơn Nam - Phường Nam Sơn - Thành phố Bắc Ninh - Bắc Ninh.</t>
  </si>
  <si>
    <t>CÔNG TY TNHH ĐẠI LÝ BẢO HIỂM EQUITAINE</t>
  </si>
  <si>
    <t>0109115256</t>
  </si>
  <si>
    <t>Tầng 7, Zen Tower, 12 Khuất Duy Tiến - Phường Thanh Xuân Trung - Quận Thanh Xuân - Hà Nội.</t>
  </si>
  <si>
    <t>CÔNG TY TNHH THƯƠNG MẠI QUỐC TẾ NAM HỒNG</t>
  </si>
  <si>
    <t>0105034454</t>
  </si>
  <si>
    <t>Số 6, ngách 12/31, phố Hàm Nghi - Phường Cầu Diễn - Quận Nam Từ Liêm - Hà Nội.</t>
  </si>
  <si>
    <t>0107405182</t>
  </si>
  <si>
    <t>CÔNG TY CỔ PHẦN TƯ VẤN XÂY DỰNG VÀ THƯƠNG MẠI SONG ANH</t>
  </si>
  <si>
    <t>Hà Đông Nam</t>
  </si>
  <si>
    <t>Số 06 ngách 425/65 đường An Dương Vương - Phường Phú Thượng - Quận Tây Hồ - Hà Nội.</t>
  </si>
  <si>
    <t>Hà Đông nam</t>
  </si>
  <si>
    <t>0106143287</t>
  </si>
  <si>
    <t>CÔNG TY TNHH THƯƠNG MẠI DỊCH VỤ VÀ VẬT LIỆU XÂY DỰNG HOÀNG MINH</t>
  </si>
  <si>
    <t>Số nhà 10, ngõ 259/63, phố Vĩnh Hưng - Phường Vĩnh Hưng - Quận Hoàng Mai - Hà Nội.</t>
  </si>
  <si>
    <t>Chị Ngần:  0973077992</t>
  </si>
  <si>
    <t>CÔNG TY TNHH THƯƠNG MẠI VÀ SẢN XUẤT CƠ KHÍ HÙNG LINH</t>
  </si>
  <si>
    <t>Anh Thiết Anh Trường: 0987402906</t>
  </si>
  <si>
    <t>Khu giãn dân, Thôn Lưu Phái - Xã Ngũ Hiệp - Huyện Thanh Trì - Hà Nội.</t>
  </si>
  <si>
    <t>0108339630</t>
  </si>
  <si>
    <t>CÔNG TY TNHH MỘT THÀNH VIÊN THƯƠNG MẠI VẬN TẢI MẠNH HẢI</t>
  </si>
  <si>
    <t xml:space="preserve">0801029956 </t>
  </si>
  <si>
    <t>Khu I - Phường Minh Tân - Thị xã Kinh Môn - Hải Dương.</t>
  </si>
  <si>
    <t>0101349245</t>
  </si>
  <si>
    <t>Chị Ngọc Đống Đa</t>
  </si>
  <si>
    <t>CÔNG TY CỔ PHẦN XÂY LẮP VÀ THƯƠNG MẠI THĂNG LONG</t>
  </si>
  <si>
    <t>P306 nhà D5 TT Trung Tự - Phường Trung Tự - Quận Đống đa - Hà Nội.</t>
  </si>
  <si>
    <t>0106528495</t>
  </si>
  <si>
    <t>CÔNG TY TNHH ĐẦU TƯ XÂY DỰNG VÀ TRUYỀN THÔNG THỦ ĐÔ</t>
  </si>
  <si>
    <t xml:space="preserve"> Số 26B, ngõ 68/108, phố Triều Khúc - Xã Tân Triều - Huyện Thanh Trì - Hà Nội.</t>
  </si>
  <si>
    <t>CÔNG TY TNHH CÔNG NGHỆ SAHARA VIỆT NAM</t>
  </si>
  <si>
    <t xml:space="preserve"> 0107407729</t>
  </si>
  <si>
    <t>Số 16 ngõ 101 phố Nghĩa Tân - Phường Nghĩa Tân - Quận Cầu Giấy - Hà Nội.</t>
  </si>
  <si>
    <t>5400257584</t>
  </si>
  <si>
    <t>CÔNG TY CỔ PHẦN ĐẦU TƯ EGO VIỆT NAM</t>
  </si>
  <si>
    <t>Tiểu khu 3 - Thị trấn Lương Sơn - Huyện Lương Sơn - Hòa Bình.</t>
  </si>
  <si>
    <t>0982282869 Chị Thanh</t>
  </si>
  <si>
    <t>CÔNG TY TNHH ĐẦU TƯ, SẢN XUẤT VÀ THƯƠNG MẠI AN KHÁNH</t>
  </si>
  <si>
    <t>0107306664</t>
  </si>
  <si>
    <t>Lô số 7, Cụm CN An Khánh Km9, đường Láng-Hòa Lạc - Xã An Khánh - Huyện Hoài Đức - Hà Nội.</t>
  </si>
  <si>
    <t>0904882156 Chị  Giang</t>
  </si>
  <si>
    <t>CÔNG TY CỔ PHẦN GIẢI PHÁP KỸ THUẬT NĂNG LƯỢNG VIỆT NAM</t>
  </si>
  <si>
    <t>P 307-310, E2, khu Đoàn Ngoại giao Trung Tự, số 6 Đặng Văn N - Phường Trung Tự - Quận Đống đa - Hà Nội.</t>
  </si>
  <si>
    <t>0101727578</t>
  </si>
  <si>
    <t>0106841919</t>
  </si>
  <si>
    <t>CÔNG TY TNHH ĐẦU TƯ VÀ DU LỊCH ĐỨC VINH</t>
  </si>
  <si>
    <t>Số 25, làng Yên Phụ - Phường Yên Phụ - Quận Tây Hồ - Hà Nội.</t>
  </si>
  <si>
    <t>CÔNG TY TNHH GW VIỆT NAM</t>
  </si>
  <si>
    <t>0109078646</t>
  </si>
  <si>
    <t>Phòng số 11A, tầng 9, Tòa nhà VIT, số 519 Kim Mã - Phường Ngọc Khánh - Quận Ba Đình - Hà Nội.</t>
  </si>
  <si>
    <t>0105016007</t>
  </si>
  <si>
    <t>CÔNG TY TNHH THƯƠNG MẠI &amp; XÂY DỰNG TÍN PHÁT</t>
  </si>
  <si>
    <t>Thôn Thượng - Xã Thanh Liệt - Huyện Thanh Trì - Hà Nội.</t>
  </si>
  <si>
    <t>c Mai bên cty ecomec</t>
  </si>
  <si>
    <t xml:space="preserve"> 0108064489</t>
  </si>
  <si>
    <t>CÔNG TY CỔ PHẦN ĐẦU TƯ VÀ THƯƠNG MẠI LASAN</t>
  </si>
  <si>
    <t>Tầng 4, tòa nhà HUD3 Tower, số 121-123 đường Tô Hiệu - Phường Nguyễn Trãi - Quận Hà Đông - Hà Nội.</t>
  </si>
  <si>
    <t>0108017087</t>
  </si>
  <si>
    <t>CÔNG TY TNHH DỊCH VỤ NHÀ HÀNG EAGLE HỒNG QUÂN</t>
  </si>
  <si>
    <t>Số 2- BT9, khu đô thị Văn Phú - Phường Phú La - Quận Hà Đông - Hà Nội.</t>
  </si>
  <si>
    <t>0107984532</t>
  </si>
  <si>
    <t>CÔNG TY TNHH MNP ENGINEERING</t>
  </si>
  <si>
    <t>LK05 - 21, khu đô thị An Hưng - Phường Dương Nội - Quận Hà Đông - Hà Nội.</t>
  </si>
  <si>
    <t>Hoài Linh - MTT</t>
  </si>
  <si>
    <t xml:space="preserve"> CÔNG TY TNHH ĐẦU TƯ THIẾT KẾ XÂY DỰNG HÒA BÌNH</t>
  </si>
  <si>
    <t>Chị Gấm: 0967336319</t>
  </si>
  <si>
    <t>0107964092</t>
  </si>
  <si>
    <t>CÔNG TY TNHH DỊCH VỤ NHÀ HÀNG MURAYAMA</t>
  </si>
  <si>
    <t>TT29 số 15 khu đô thị Văn Phú - Phường Phú La - Quận Hà Đông - Hà Nội.</t>
  </si>
  <si>
    <t>CÔNG AN QUẬN HẢI CHÂU</t>
  </si>
  <si>
    <t>16 Phan Đình Phùng - Phường Hải Châu I - Quận Hải Châu - Đà Nẵng.</t>
  </si>
  <si>
    <t>0401290546</t>
  </si>
  <si>
    <t>CÔNG TY CỔ PHẦN ĐẦU TƯ THƯƠNG MẠI VÀ XÂY DỰNG 379</t>
  </si>
  <si>
    <t>0101757244</t>
  </si>
  <si>
    <t>Tổ 4 P.Định Công - Quận Hoàng Mai - Hà Nội.</t>
  </si>
  <si>
    <t>Anh Toàn: 0983415363</t>
  </si>
  <si>
    <t>CÔNG TY TNHH CÔNG NGHỆ KNK VIỆT NAM</t>
  </si>
  <si>
    <t xml:space="preserve">Chị Ngọc: 0963786466 </t>
  </si>
  <si>
    <t>Số 9, ngõ 107, phố Vĩnh Phúc - Phường Vĩnh Phúc - Quận Ba Đình - Hà Nội.</t>
  </si>
  <si>
    <t xml:space="preserve"> 0106412613</t>
  </si>
  <si>
    <t>CÔNG TY TNHH VẠN NIÊN TÙNG JP</t>
  </si>
  <si>
    <t>Oanh: 0973487651</t>
  </si>
  <si>
    <t xml:space="preserve"> 0108848701</t>
  </si>
  <si>
    <t>Số 690 đường Lạc Long Quân, - Phường Nhật Tân - Quận Tây Hồ - Hà Nội.</t>
  </si>
  <si>
    <t>0362546667 Chi Huệ</t>
  </si>
  <si>
    <t>0102669801</t>
  </si>
  <si>
    <t>CÔNG TY TNHH ĐỒ GỖ NỘI THẤT MỸ Á</t>
  </si>
  <si>
    <t>Số 174E phố Đội Cấn - Phường Đội Cấn - Quận Ba Đình - Hà Nội.</t>
  </si>
  <si>
    <t>CÔNG TY TNHH THƯƠNG MẠI QUỐC TẾ MINH HOÀNG BEAUTY - GERMANY - VIỆT NAM</t>
  </si>
  <si>
    <t>0104888615</t>
  </si>
  <si>
    <t>Số 2A, ngõ 175, đường Nước ngầm Phần Lan - Phường Tứ Liên - Quận Tây Hồ - Hà Nội.</t>
  </si>
  <si>
    <t>VPĐD TATA INTERNATIONAL LIMITED TẠI HÀ NỘI</t>
  </si>
  <si>
    <t xml:space="preserve"> 0104074969</t>
  </si>
  <si>
    <t>P801A, tầng 8, TTTM Opera, số 60 Lý Thái Tổ - Quận Hoàn Kiếm - Hà Nội.</t>
  </si>
  <si>
    <t>Chị Hương: 0973244258</t>
  </si>
  <si>
    <t>Mỹ Quang Đồng Gia</t>
  </si>
  <si>
    <t>Chị Thảo: 0398890822</t>
  </si>
  <si>
    <t>TT Ncencomm 2,4tr</t>
  </si>
  <si>
    <t xml:space="preserve"> CÔNG TY TNHH NGHIÊN CỨU PHÁT TRIỂN CÔNG NGHỆ XANH TÂN ĐẠI PHÁT</t>
  </si>
  <si>
    <t>0103979482</t>
  </si>
  <si>
    <t>Số 82 C14 Khu tập thể Kim Liên - Phường Kim Liên - Quận Đống đa - Hà Nội.</t>
  </si>
  <si>
    <t>CHI NHÁNH CÔNG TY TNHH SUFAT VIỆT NAM</t>
  </si>
  <si>
    <t>0900230535-001</t>
  </si>
  <si>
    <t xml:space="preserve">Số 82 C14 Khu tập thể Kim Liên - Phường Kim Liên - Quận Đống đa - Hà Nội.
</t>
  </si>
  <si>
    <t>TT Nacencomm 1.6tr</t>
  </si>
  <si>
    <t>TT Long 1,7tr - Đã chuyển Chúc 4/4 nộp lại Nacencomm</t>
  </si>
  <si>
    <t>Sang tháng 4</t>
  </si>
  <si>
    <t xml:space="preserve"> CÔNG TY TNHH ĐẦU TƯ THƯƠNG MẠI DỊCH VỤ TRÀ PHƯƠNG</t>
  </si>
  <si>
    <t>0201977564</t>
  </si>
  <si>
    <t>Số 8/5/36 Phố Cấm - Phường Gia Viên - Quận Ngô Quyền - Hải Phòng.</t>
  </si>
  <si>
    <t>0108532779</t>
  </si>
  <si>
    <t>CÔNG TY CỔ PHẦN TẬP ĐOÀN LAVA</t>
  </si>
  <si>
    <t>Số 282, Đường Mễ Trì Thượng - Phường Mễ Trì - Quận Nam Từ Liêm - Hà Nội.</t>
  </si>
  <si>
    <t>CÔNG TY CỔ PHẦN HỆ THỐNG AISOFT</t>
  </si>
  <si>
    <t>Số 1, Cụm dân cư số 10 - Phường Thụy Phương - Quận Bắc Từ Liêm - Hà Nội.</t>
  </si>
  <si>
    <t>0108533282</t>
  </si>
  <si>
    <t>0108064489</t>
  </si>
  <si>
    <t>Số 26 ngõ 2 đường Nguyễn Chánh - Phường Trung Hoà - Quận Cầu Giấy - Hà Nội.</t>
  </si>
  <si>
    <t>Đã TT Long</t>
  </si>
  <si>
    <t>CÔNG TY CỔ PHẦN CÔNG NGHỆ EFAST VIỆT NAM</t>
  </si>
  <si>
    <t>13/03/2020 FT20073021521864 \ BNK 10321656622015 Đồng Gia TT HD 10228  2.400.000</t>
  </si>
  <si>
    <t>24/03/2020 FT20084439621481 \ BNK 10321656622015 Công ty mega MST 0106007414 thanh t oan tien gia han CTS  771.000</t>
  </si>
  <si>
    <t>06/04/2020 FT20097A01014205 \ XNV 10321656622015 (B / O Lạc HÀ THU) (200220040600010) Lạc HA THU TRA TIEN ĐICH VU CHUNG THUC CHU KY SO  2.907.300</t>
  </si>
  <si>
    <t>30/03/2020 FT20090648448174 \ BNK 10321656622015 ctytnhh Equitaine-0109115256-tt cks  2.190.000</t>
  </si>
  <si>
    <t>25/03/2020 FT20085798057265 \ BNK 10321656622015 Cty tnhh dau tu xay dung va truyen thong thu do 0106528495 CT DV chung thu so CA  2.407.300</t>
  </si>
  <si>
    <t>03/04/2020 FT20094A04013795 \ XNV 10321656622015 (B / O CTY đương DAU TU SAN XUAT VA THUONG MAI AN KHANH) HB0107306664 CTY AN KHANH THANH TOAN TIEN CHU KY SO  2.400.000</t>
  </si>
  <si>
    <t>01/04/2020 FT20092398738073 \ BNK 10321656622015 Cty Nhẫn cong nghe KNK việt nam 010 6412613 chuyển đổi tien dich vu chung t hu so CA2  3.110.800</t>
  </si>
  <si>
    <t>CÔNG TY CỔ PHẦN TƯ VẤN ĐẦU TƯ MỎ VÀ MÔI TRƯỜNG - HẠ LONG</t>
  </si>
  <si>
    <t>Chị Phượng Bảo Long</t>
  </si>
  <si>
    <t>5701672023</t>
  </si>
  <si>
    <t>Số nhà 01, Khu Tân Lập 1 - Phường Cẩm Thủy - Thành phố Cẩm Phả - Quảng Ninh.</t>
  </si>
  <si>
    <t>CÔNG TY CỔ PHẦN LUMEN VIỆT NAM</t>
  </si>
  <si>
    <t>0108838083</t>
  </si>
  <si>
    <t>Số 1 Phố Dịch Vọng - Phường Dịch Vọng - Quận Cầu Giấy - Hà Nội.</t>
  </si>
  <si>
    <t>CÔNG TY CỔ PHẦN LUMEN INVEST</t>
  </si>
  <si>
    <t>0108829018</t>
  </si>
  <si>
    <t>Số nhà 21, Phố Trung Kính - Phường Trung Hoà - Quận Cầu Giấy - Hà Nội.</t>
  </si>
  <si>
    <t>VĂN PHÒNG LUẬT SƯ ĐÔNG HÀ</t>
  </si>
  <si>
    <t>CÔNG TY CỔ PHẦN XÂY DỰNG ĐÔ THỊ NAM VIỆT</t>
  </si>
  <si>
    <t>2500589387</t>
  </si>
  <si>
    <t>Khu Tân Hà - TT Gia Khánh - Huyện Bình Xuyên - Vĩnh Phúc.</t>
  </si>
  <si>
    <t>CÔNG TY TNHH THƯƠNG MẠI VÀ XÂY DỰNG HDG VIỆT HÀN</t>
  </si>
  <si>
    <t>0107648308</t>
  </si>
  <si>
    <t>Số 7 Liền kề 1 KĐT Simco Sông Đà - Phường Vạn Phúc - Quận Hà Đông - Hà Nội.</t>
  </si>
  <si>
    <t>CÔNG TY TNHH PLT VIỆT NAM</t>
  </si>
  <si>
    <t>Số 12 ngõ 192 phố Đại Từ - Phường Đại Kim - Quận Hoàng Mai - Hà Nội.</t>
  </si>
  <si>
    <t>0107573726</t>
  </si>
  <si>
    <t>CÔNG TY TNHH ĐẦU TƯ THIẾT BỊ XÂY DỰNG SÔNG LAM</t>
  </si>
  <si>
    <t xml:space="preserve"> 0109125649</t>
  </si>
  <si>
    <t>Số nhà 14 � C4 ngõ 8 Ngô Quyền, tập thể Học viện Chính trị, - Phường Quang Trung - Quận Hà Đông - Hà Nội.</t>
  </si>
  <si>
    <t>14/04/2020 FT20105405616939\BNK 10321656622015 MBVCB.385040545.150527.thanh toan h oa don dien tu.CT tu 0011001028329 KHUAT DUY HOA toi 103216566220  800,000</t>
  </si>
  <si>
    <t>14/04/2020 FT20105A01009907 \ XNV 10321656622015 (B / O CTY CP TU VĂN DAU TU MO &amp; MT - HÀ LONG) TC: 0010223.CTY CP TU VĂN DAU TU MO VA MOI TRUONG HA LONG MST: 5701672023  2.907.300</t>
  </si>
  <si>
    <t>15/04/2020 FT20106692410450 \ BNK 10321656622015 Tinh Cát Lâm-0400464775- TT GH CTS3 N  2.907.300</t>
  </si>
  <si>
    <t>0105510135</t>
  </si>
  <si>
    <t>Số 48, ngõ 218 đường Lạc Long Quân - Phường Bưởi - Quận Tây Hồ - Hà Nội.</t>
  </si>
  <si>
    <t>FT20106320131881\BNK</t>
  </si>
  <si>
    <t>CT EFAST TT TIEN THEO HOA DON GTGT SO 0010936 CHO CT NACENCOMM</t>
  </si>
  <si>
    <t>TT Nacencomm 480K</t>
  </si>
  <si>
    <t xml:space="preserve"> VĂN PHÒNG CÔNG CHỨNG AN PHÚ</t>
  </si>
  <si>
    <t>0800915824</t>
  </si>
  <si>
    <t>299 Trần Hưng Đạo - Phường An Lưu - Thị xã Kinh Môn - Hải Dương.</t>
  </si>
  <si>
    <t>Anh Đông: 0912519869</t>
  </si>
  <si>
    <t>congchunganphu@gmail.com</t>
  </si>
  <si>
    <t>CÔNG TY TNHH SI YUAN TECH</t>
  </si>
  <si>
    <t>0700822206</t>
  </si>
  <si>
    <t>Lô G3, đường N5, KCN Châu Sơn - Phường Châu Sơn - Thành phố Phủ Lý - Hà Nam.</t>
  </si>
  <si>
    <t>16/04/2020 TT2010767698\HNM  CONG TY TNHH SI YUAN TECH MST 0700822206 THANH TOAN PHI SU DUNG CKS  3,110,800</t>
  </si>
  <si>
    <t>Bù trừ CK anh Hoàng</t>
  </si>
  <si>
    <t>CK 600K của  0100108825 + 500K của 0800740701 +255 của 0106687978</t>
  </si>
  <si>
    <t>CÔNG TY CỔ PHẦN PHÁT TRIỂN THƯƠNG MẠI ĐIỆN TỬ VIỆT NAM</t>
  </si>
  <si>
    <t>TT Long 700K</t>
  </si>
  <si>
    <t xml:space="preserve"> 0101439900</t>
  </si>
  <si>
    <t>Số 38B ngõ 6/31/5 Đặng Văn Ngữ - Phường Phương Liên - Quận Đống đa - Hà Nội.</t>
  </si>
  <si>
    <t>CÔNG TY TNHH THƯƠNG MẠI VÀ DỊCH VỤ KỸ THUẬT THÀNH ĐÔ</t>
  </si>
  <si>
    <t>0109123673</t>
  </si>
  <si>
    <t>Số 62A, Ngõ 95 , phố Nam Dư, - Phường Lĩnh Nam - Quận Hoàng Mai - Hà Nội.</t>
  </si>
  <si>
    <t>TT Long 1100K</t>
  </si>
  <si>
    <t>TT Long 825K</t>
  </si>
  <si>
    <t>CÔNG TY CỔ PHẦN THƯƠNG MẠI VÀ DỊCH VỤ HENA</t>
  </si>
  <si>
    <t>0402028118</t>
  </si>
  <si>
    <t>583 Nguyễn Tất Thành, - Phường Xuân Hà - Quận Thanh Khê - Đà Nẵng.</t>
  </si>
  <si>
    <t>CÔNG TY CỔ PHẦN ĐẦU TƯ XÂY DỰNG VÀ PHÁT TRIỂN CÔNG NGHỆ HOÀNG MINH</t>
  </si>
  <si>
    <t>0107334559</t>
  </si>
  <si>
    <t>Số 16 ngõ 234 đường Trường Chinh - Phường Khương Thượng - Quận Đống đa - Hà Nội.</t>
  </si>
  <si>
    <t>0106349305</t>
  </si>
  <si>
    <t>CÔNG TY CỔ PHẦN ĐẦU TƯ XÂY DỰNG VÀ THƯƠNG MẠI DỊCH VỤ VIỄN THÔNG ĐỨC THÀNH</t>
  </si>
  <si>
    <t>Số 216 Xã Đàn - Phường Phương Liên - Quận Đống đa - Hà Nội.</t>
  </si>
  <si>
    <t>CÔNG TY TNHH ĐẦU TƯ TƯ VẤN XÂY DỰNG VÀ VIỄN THÔNG PDA VIỆT NAM</t>
  </si>
  <si>
    <t>0107370268</t>
  </si>
  <si>
    <t>CÔNG TY TNHH TƯ VẤN XÂY DỰNG THƯƠNG MẠI THANH BÌNH</t>
  </si>
  <si>
    <t>0108855561</t>
  </si>
  <si>
    <t>Số 12 ngõ 95 tổ 27 phố Thuý Lĩnh - Phường Lĩnh Nam - Quận Hoàng Mai - Hà Nội.</t>
  </si>
  <si>
    <t>CÔNG TY TNHH THIẾT BỊ VĂN PHÒNG BẢO HOÀNG</t>
  </si>
  <si>
    <t>0103117306</t>
  </si>
  <si>
    <t>số 50 phố Đặng Văn Ngữ phường Phương Liên - Phường Phương Liên - Quận Đống đa - Hà Nội.</t>
  </si>
  <si>
    <t>Đã trừ CK,</t>
  </si>
  <si>
    <t>20/04/2020 FT20111A02000044\XNV 10321656622015 (B/O NGUYEN TAT DONGKINH MON HD) 154 _ VPCC AN PHU TRA TIEN GIA HANCHU KY SO  2,200,000</t>
  </si>
  <si>
    <t>Đã TT Nacencomm 3110800</t>
  </si>
  <si>
    <t>CÔNG TY TRÁCH NHIỆM HỮU HẠN MỘT THÀNH VIÊN NGÔ HOÀNG KIM BẢO</t>
  </si>
  <si>
    <t>3701931002</t>
  </si>
  <si>
    <t>6/5B tổ 12, khu phố Hoà Long - Phường Lái Thiêu - Thành phố Thuận An - Bình Dương.</t>
  </si>
  <si>
    <t>Chị Kim Quy: 0916398797</t>
  </si>
  <si>
    <t>21/04/2020 FT20112A01016650\XNV 10321656622015 (B/O CTY CP DAU TU XAY DUNG VA TM DUC HUNG) CONG TY DUC HUNG THANH TOAN CP CAI DAT PHAN MEM IN HOA DON DIEN TU CA2-EI300  800,000</t>
  </si>
  <si>
    <t>TT Chúc đã CK Nacencomm</t>
  </si>
  <si>
    <t>22/04/2020 FT20113830838009 \ BNK 10321656622015 Công ty CP Đậu tu và TM Hà Minh- MS T 0106545860 chuyển đổi tien hoa don di en tu  800.000</t>
  </si>
  <si>
    <t>21/04/2020 FT20112855072251 \ BNK 10321656622015 MBVCB.389548238.232661.3701931002 1 2 thang.CT tu 0281000440812 NGO BẢO ĐENEN toi 10321656622015 CON  1.277.000</t>
  </si>
  <si>
    <t>20/04/2020 FT20111A01010323\XNV 10321656622015 (B/O TRAN THI NGOC) TRA TIEN HOA DON DIEN TU  925,000</t>
  </si>
  <si>
    <t>CÔNG TY CỔ PHẦN T VÀ T</t>
  </si>
  <si>
    <t>0101210821</t>
  </si>
  <si>
    <t>Số 46 Trần Hưng Đạo - Phường Hàng Bài - Quận Hoàn Kiếm - Hà Nội.</t>
  </si>
  <si>
    <t>CÔNG TY TNHH THIẾT BỊ Y TẾ ĐỨC QUANG</t>
  </si>
  <si>
    <t>0109095426</t>
  </si>
  <si>
    <t>Số nhà 48, Ngõ 26 Mạc Thái Tổ - Phường Yên Hoà - Quận Cầu Giấy - Hà Nội.</t>
  </si>
  <si>
    <t>Thúy Thủy: 097 7428816</t>
  </si>
  <si>
    <t>Thanh toán Chúc</t>
  </si>
  <si>
    <t>CÔNG TY TNHH THƯƠNG MẠI XÂY DỰNG THUẬN THỦY</t>
  </si>
  <si>
    <t>0109158193</t>
  </si>
  <si>
    <t xml:space="preserve">Số 46 Quốc Tử Giám, - Phường Văn Miếu - Quận Đống đa - Hà Nội.
</t>
  </si>
  <si>
    <t>0109141802</t>
  </si>
  <si>
    <t>CÔNG TY TNHH NGỌC HÂN BEAUTY VIỆT NAM</t>
  </si>
  <si>
    <t>Số 182 Xuân Diệu, - Phường Quảng An - Quận Tây Hồ - Hà Nội.</t>
  </si>
  <si>
    <t>Thu Ngà: 0327063621</t>
  </si>
  <si>
    <t>CÔNG TY TNHH XÚC TIẾN THƯƠNG MẠI TAIYO</t>
  </si>
  <si>
    <t>0105804449</t>
  </si>
  <si>
    <t>Số 242 âu Cơ - Phường Quảng An - Quận Tây Hồ - Hà Nội.</t>
  </si>
  <si>
    <t>0976096499 CHị Thủy</t>
  </si>
  <si>
    <t>0101611774</t>
  </si>
  <si>
    <t>CÔNG TY TNHH THƯƠNG MẠI VÀ XÂY DỰNG ANH DŨNG</t>
  </si>
  <si>
    <t>738 -740 đường Láng - Phường Láng Thượng - Quận Đống đa - Hà Nội.</t>
  </si>
  <si>
    <t>Đã tt nacencomm</t>
  </si>
  <si>
    <t>16/04/2020 TT201070HA33\BTR  DINH VO LUONG THANH TOAN TIEN HOP DONG  800,000</t>
  </si>
  <si>
    <t>24/04/2020 FT20115204480903\BNK 10321656622015 Van Nien Tung JP thanh toan tjen da ng ky chu ky so hd 0108848701/CA2-N CM  3,110,800</t>
  </si>
  <si>
    <t>0107501425</t>
  </si>
  <si>
    <t>CÔNG TY TNHH MÔI TRƯỜNG SAO VIỆT XANH</t>
  </si>
  <si>
    <t>Đội 6, thôn Trát Cầu - Xã Tiền Phong - Huyện Thường Tín - Hà Nội.</t>
  </si>
  <si>
    <t>Chị Hướng</t>
  </si>
  <si>
    <t>Chị Tuyết</t>
  </si>
  <si>
    <t>CÔNG TY TNHH RẠNG ĐÔNG - SCON</t>
  </si>
  <si>
    <t>0108282166</t>
  </si>
  <si>
    <t>Thôn Lộc Dư - Xã Nguyễn Trãi - Huyện Thường Tín - Hà Nội.</t>
  </si>
  <si>
    <t xml:space="preserve"> 0109095426</t>
  </si>
  <si>
    <t>TT Chúc chuyển Nacencomm</t>
  </si>
  <si>
    <t>CÔNG TY TNHH CƠ ĐIỆN VÀ THƯƠNG MẠI VIMAX</t>
  </si>
  <si>
    <t>Số 50, ngõ 261, tổ dân phố 18 - Phường Phú Diễn - Quận Bắc Từ Liêm - Hà Nội.</t>
  </si>
  <si>
    <t>0107447584</t>
  </si>
  <si>
    <t>Mộc Anh 0944838789</t>
  </si>
  <si>
    <t>CÔNG TY CỔ PHẦN THƯƠNG MẠI VÀ PHÁT TRIỂN VẠN PHÁT</t>
  </si>
  <si>
    <t>Thôn 3 - Xã Vạn Phúc - Huyện Thanh Trì - Hà Nội.</t>
  </si>
  <si>
    <t>0109110804</t>
  </si>
  <si>
    <t xml:space="preserve">CÔNG TY TNHH THƯƠNG MẠI VÀ DỊCH VỤ ĐẾ HÀO </t>
  </si>
  <si>
    <t>0901075836</t>
  </si>
  <si>
    <t>Số nhà 76, Đường Nguyễn Bình, - Phường Nhân Hòa - Thị xã Mỹ Hào - Hưng Yên.</t>
  </si>
  <si>
    <t>CÔNG TY CỔ PHẦN NÔNG SẢN VÀ THỰC PHẨM HƯƠNG VIỆT</t>
  </si>
  <si>
    <t>Chị Lan Anh Thuế Hoàng Mai</t>
  </si>
  <si>
    <t>Số nhà 68, ngõ 225, tổ 8, phố Yên Duyên - Phường Yên Sở - Quận Hoàng Mai - Hà Nội.</t>
  </si>
  <si>
    <t>0107998694</t>
  </si>
  <si>
    <t>Chị Cúc 0977 499771</t>
  </si>
  <si>
    <t>0833992666</t>
  </si>
  <si>
    <t>25/04/2020 FT20116794474712\BNK 10321656622015 Techcombank 10321656622015 LE THI C UC chuyen khoan  1,175,000</t>
  </si>
  <si>
    <t>27/04/2020 FT20118042708589\BNK 10321656622015 CONG TY VAN PHAT MST 0109110804 THA NH TOAN TIEN HOA DON DIEN TU  800,000</t>
  </si>
  <si>
    <t>7/04/2020 FT20118498013442\BNK 10321656622015 Cong ty Tnhh MTV manh Hai 08010299 56 ctien chu ky so 12 thang  1,078,000</t>
  </si>
  <si>
    <t>20/04/2020 FT20111387566402\BNK 10321656622015 Thanh toan tien theo HD so: 0010651  2,907,300</t>
  </si>
  <si>
    <t>21/04/2020 TT2011270802\NHT  CT TAN DAI PHAT TRA TIEN PHAN MEM HD DIEN TU SO TIEN NOP 800000  800,000</t>
  </si>
  <si>
    <t>21/04/2020 TT2011210357\NHT  CN SUNFAT TRA TIEN PHAN MEM HD DIEN TU SO TIEN NOP 800000  800,000</t>
  </si>
  <si>
    <t>Đã chuyển CK cho chị Loan</t>
  </si>
  <si>
    <t>Chị Vân</t>
  </si>
  <si>
    <t>29/04/2020 FT20120881241855\BNK 10321656622015 ngoc han  1,827,000</t>
  </si>
  <si>
    <t>0106357507-001</t>
  </si>
  <si>
    <t>CÔNG TY CỔ PHẦN THUỶ THIÊN NHU - CHI NHÁNH TẠI THÀNH PHỐ HỒ CHÍ MINH</t>
  </si>
  <si>
    <t>127A Khu phố Mỹ Hưng, Đường Nguyễn Cao - Phường Tân Phong - Quận 7 - TP Hồ Chí Minh.</t>
  </si>
  <si>
    <t>Chị Vân Anh 0915691319</t>
  </si>
  <si>
    <t>TT tiền mặt Nacencomm 1827K</t>
  </si>
  <si>
    <t>0312820294</t>
  </si>
  <si>
    <t>CTV Hằng</t>
  </si>
  <si>
    <t>CÔNG TY CỔ PHẦN DALA</t>
  </si>
  <si>
    <t>Tầng 19, P.1901, Saigon Trade Center, 37 Tôn Đức Thắng - Phường Bến Nghé - Quận 1 - TP Hồ Chí Minh.</t>
  </si>
  <si>
    <t>Thảo 0365933292</t>
  </si>
  <si>
    <t>thao.nguyen@saigonfutures.com</t>
  </si>
  <si>
    <t xml:space="preserve"> 2300933057</t>
  </si>
  <si>
    <t>CÔNG TY TNHH SẢN XUẤT VÀ KINH DOANH THÉP PHÚ HƯNG</t>
  </si>
  <si>
    <t>(NR ông Trần Khắc Huynh) khu phố Đa Hội - Phường Châu Khê - Thị xã Từ Sơn - Bắc Ninh.</t>
  </si>
  <si>
    <t>0984680698 Chị Phượng</t>
  </si>
  <si>
    <t>dothiphuong1986@gmail.com</t>
  </si>
  <si>
    <t>TT Long 2191000</t>
  </si>
  <si>
    <t>0601195762</t>
  </si>
  <si>
    <t>CÔNG TY CỔ PHẦN THƯƠNG MẠI XÂY DỰNG VÀ NỘI THẤT TRƯỜNG THỊNH</t>
  </si>
  <si>
    <t>Xóm 14, - Xã Bình Hòa - Huyện Giao Thuỷ - Nam Định.</t>
  </si>
  <si>
    <t xml:space="preserve"> 0801242667</t>
  </si>
  <si>
    <t>CÔNG TY TNHH ĐẠI ĐỨC THÔNG</t>
  </si>
  <si>
    <t>Số 39, phố Hải Phúc - Phường Hồng Hải - Thành phố Hạ Long - Quảng Ninh.</t>
  </si>
  <si>
    <t>Chị Hằng098844491</t>
  </si>
  <si>
    <t>TT tài khoản Chúc 1800K</t>
  </si>
  <si>
    <t>0106859088</t>
  </si>
  <si>
    <t>CÔNG TY TNHH DỊCH VỤ TỔNG HỢP SẠCH VÀ XANH</t>
  </si>
  <si>
    <t>0906001718</t>
  </si>
  <si>
    <t>Số 23 ngõ 11, tổ dân phố số 1 Miêu Nha - Phường Tây Mỗ - Quận Nam Từ Liêm - Hà Nội.</t>
  </si>
  <si>
    <t>0108279815</t>
  </si>
  <si>
    <t>CÔNG TY TNHH XNK NANA VIỆT NAM</t>
  </si>
  <si>
    <t>Số 4, ngách 30, ngõ 109, phố Quan Nhân - Phường Nhân Chính - Quận Thanh Xuân - Hà Nội.</t>
  </si>
  <si>
    <t>CÔNG TY TNHH LẠC THIÊN KHẢI</t>
  </si>
  <si>
    <t>0106062006</t>
  </si>
  <si>
    <t>Số 60 Phạm Ngọc Thạch - Phường Trung Tự - Quận Đống đa - Hà Nội.</t>
  </si>
  <si>
    <t>Km 7+500, quốc lộ 3 , thôn Văn Thượng - Xã Xuân Canh - Huyện Đông Anh - Hà Nội.</t>
  </si>
  <si>
    <t>Căn DV07 Tầng 1 Dự án @Home 987 Tam Trinh - Phường Yên Sở - Quận Hoàng Mai - Hà Nội.</t>
  </si>
  <si>
    <t xml:space="preserve"> 0109158877</t>
  </si>
  <si>
    <t>CÔNG TY CỔ PHẦN XUẤT NHẬP KHẨU CLA STONE</t>
  </si>
  <si>
    <t>0103722952</t>
  </si>
  <si>
    <t>CÔNG TY TNHH KIM KHÍ MINH HẢI</t>
  </si>
  <si>
    <t>Phòng 15, nhà B8, khu Tập thể Kim Liên - Phường Kim Liên - Quận Đống đa - Hà Nội.</t>
  </si>
  <si>
    <t>CÔNG TY TNHH CÔNG NGHỆ THÔNG MINH VIỆT HÀN</t>
  </si>
  <si>
    <t>0108696537</t>
  </si>
  <si>
    <t>Số nhà 52, ngách 132/64, phố Khương Trung - Phường Khương Trung - Quận Thanh Xuân - Hà Nội.</t>
  </si>
  <si>
    <t>CÔNG TY TNHH XUẤT NHẬP KHẨU VÀ LOGISTICS AN PHONG</t>
  </si>
  <si>
    <t>CTV Thảo</t>
  </si>
  <si>
    <t>0108596490</t>
  </si>
  <si>
    <t>Khối 1 - Xã Phù Lỗ - Huyện Sóc Sơn - Hà Nội.</t>
  </si>
  <si>
    <t>Sóc Sơn</t>
  </si>
  <si>
    <t>0934658885 Anh Giang-0986143627 chị Mơ</t>
  </si>
  <si>
    <t>CÔNG TY TNHH PHÁT TRIỂN THƯƠNG MẠI DỊCH VỤ 247</t>
  </si>
  <si>
    <t>0108697499</t>
  </si>
  <si>
    <t>Tầng 7, tòa nhà Sannam, số 78 phố Duy Tân - Phường Dịch Vọng Hậu - Quận Cầu Giấy - Hà Nội.</t>
  </si>
  <si>
    <t>2301131521</t>
  </si>
  <si>
    <t>CÔNG TY TNHH TIẾP VẬN QUỐC TẾ DHS</t>
  </si>
  <si>
    <t>Cụm 4, Khu Bồ Sơn, - Phường Võ Cường - Thành phố Bắc Ninh - Bắc Ninh.</t>
  </si>
  <si>
    <t>CÔNG TY TNHH TÁI CẤU TRÚC DOANH NGHIỆP DHS</t>
  </si>
  <si>
    <t xml:space="preserve"> 2301131426</t>
  </si>
  <si>
    <t>Nam Định</t>
  </si>
  <si>
    <t>0106182279</t>
  </si>
  <si>
    <t>Chị Nhung: 0366381551</t>
  </si>
  <si>
    <t xml:space="preserve"> CÔNG TY CỔ PHẦN KIẾN TRÚC XÂY DỰNG HOÀNG DƯƠNG</t>
  </si>
  <si>
    <t>Huyền- cty hoàng dương 0989964808</t>
  </si>
  <si>
    <t xml:space="preserve">Số 23 Phố Quán Gánh - Xã Nhị Khê - Huyện Thường Tín - Hà Nội.
</t>
  </si>
  <si>
    <t>Thường Tín - Phú Xuyê</t>
  </si>
  <si>
    <t>CÔNG TY TNHH SẢN XUẤT THƯƠNG MẠI VÀ DỊCH VỤ HOÀNG TIẾN</t>
  </si>
  <si>
    <t>Số 16, lô 10, khu đô thị Đền Lừ 1, đường Tân Mai - Phường Hoàng Văn Thụ - Quận Hoàng Mai - Hà Nội.</t>
  </si>
  <si>
    <t>0106679790</t>
  </si>
  <si>
    <t>0108712732</t>
  </si>
  <si>
    <t>CÔNG TY TNHH DỊCH VỤ ĐẦU TƯ VÀ THƯƠNG MẠI AN PHÁT</t>
  </si>
  <si>
    <t>CTV Hoàng Linh</t>
  </si>
  <si>
    <t>Số 72 Nguyễn Ngọc Nại - Phường Khương Mai - Quận Thanh Xuân - Hà Nội - Việt Nam.</t>
  </si>
  <si>
    <t xml:space="preserve"> 0108279815</t>
  </si>
  <si>
    <t>4300594859</t>
  </si>
  <si>
    <t>CÔNG TY TNHH THƯƠNG MẠI VÀ DỊCH VỤ NGHĨA LỘC</t>
  </si>
  <si>
    <t>Số: 12-14 Hai Bà Trưng - Phường Lê Hồng Phong - Thành phố Quảng Ngãi - Quảng Ngãi.</t>
  </si>
  <si>
    <t xml:space="preserve">FT20129067100952\BNK 10321656622015 Hoa don dien tu CT TNHH Xuat nhap k hau Logistics An Phong 0108596490  480,000 </t>
  </si>
  <si>
    <t>24/04/2020 FT20115661281842\BNK 10321656622015 Cty Dong Nam 0108474051 chuyen tra tien Dich vu Hoa don dien tu  1,100,000</t>
  </si>
  <si>
    <t>CÔNG TY TNHH PHÁT TRIỂN ĐẦU TƯ VÀ CÔNG NGHỆ KSP</t>
  </si>
  <si>
    <t>0109157489</t>
  </si>
  <si>
    <t>Nhà B2, tập thể Bộ GD-ĐT, ngách 46, ngõ 89 Lạc Long Quân, - Phường Xuân La - Quận Tây Hồ - Hà
Nội - Việt Nam.</t>
  </si>
  <si>
    <t>Chị mai: 0915136822</t>
  </si>
  <si>
    <t>0106411578</t>
  </si>
  <si>
    <t xml:space="preserve"> CÔNG TY TNHH MÁY VÀ DỊCH VỤ KỸ THUẬT MINH PHÚ</t>
  </si>
  <si>
    <t>Số 24, ngách 102/72, đường Trường Chinh - Phường Phương Mai - Quận Đống đa - Hà Nội.</t>
  </si>
  <si>
    <t xml:space="preserve"> CÔNG TY CỔ PHẦN NGHIÊN CỨU VÀ ỨNG DỤNG KỸ THUẬT ĐIỆN</t>
  </si>
  <si>
    <t xml:space="preserve"> 0104018058</t>
  </si>
  <si>
    <t>A 40-TT16 KĐT Văn Quán - Phường Văn Quán - Quận Hà Đông - Hà Nội.</t>
  </si>
  <si>
    <t xml:space="preserve"> 0109165465</t>
  </si>
  <si>
    <t>CÔNG TY TNHH TM&amp;DV VFS VIỆT NAM</t>
  </si>
  <si>
    <t>BT2-TT5B-Khu đô thị Tây Nam Linh Đàm - Phường Hoàng Liệt - Quận Hoàng Mai - Hà Nội.</t>
  </si>
  <si>
    <t xml:space="preserve"> CÔNG TY TRÁCH NHIỆM HỮU HẠN BÔNG SEN ĐÁ</t>
  </si>
  <si>
    <t>0107641006</t>
  </si>
  <si>
    <t>số 16 ngõ 96 đường Đê La Thành - Phường Phương Liên - Quận Đống đa - Hà Nội.</t>
  </si>
  <si>
    <t>Olivia Bông Sen Đá</t>
  </si>
  <si>
    <t>CÔNG TY TNHH SUMA TECH VIỆT NAM</t>
  </si>
  <si>
    <t>Nguyệt: 0932.736.245</t>
  </si>
  <si>
    <t>ketoansuma@sumatechvn.com</t>
  </si>
  <si>
    <t>79/I4 âu Cơ - Phường 14 - Quận 11 - TP Hồ Chí Minh.</t>
  </si>
  <si>
    <t>Quận 11</t>
  </si>
  <si>
    <t xml:space="preserve"> 0315028062</t>
  </si>
  <si>
    <t xml:space="preserve"> 0107882682</t>
  </si>
  <si>
    <t>CÔNG TY TNHH TƯ VẤN ENTRUST</t>
  </si>
  <si>
    <t>Số 493, Đường Kim Ngưu - Phường Vĩnh Tuy - Quận Hai Bà Trưng - Hà Nội.</t>
  </si>
  <si>
    <t>Ha Bà Trưng</t>
  </si>
  <si>
    <t>Hằng 0985480868</t>
  </si>
  <si>
    <t>dothihangbg90@gmail.com,  kien@entrustlab.com, havu@entrustlab.com</t>
  </si>
  <si>
    <t>CÔNG TY CỔ PHẦN DUVICO</t>
  </si>
  <si>
    <t>0107695795</t>
  </si>
  <si>
    <t>Số 14, ngõ 267/1, đường Hồ Tùng Mậu - Phường Cầu Diễn - Quận Nam Từ Liêm - Hà Nội.</t>
  </si>
  <si>
    <t>CÔNG TY TRÁCH NHIỆM HỮU HẠN QUẢNG CÁO TRUYỀN THÔNG TINH HOA</t>
  </si>
  <si>
    <t>Lê duyên: '0906001718</t>
  </si>
  <si>
    <t>vuleduyen@gmail.com</t>
  </si>
  <si>
    <t>Số nhà 8, ngõ 6/31/7, phố Đặng Văn Ngữ - Phường Phương Liên - Quận Đống đa - Hà Nội.</t>
  </si>
  <si>
    <t>0105228562</t>
  </si>
  <si>
    <t xml:space="preserve"> CÔNG TY CỔ PHẦN TRUYỀN THÔNG VÀ CÔNG NGHỆ DITECH</t>
  </si>
  <si>
    <t>Tầng 2, CC Viện Chiến lược Bộ Công An, phố Nguyễn Chánh - Phường Trung Hoà - Quận Cầu Giấy - Hà Nội.</t>
  </si>
  <si>
    <t>29/04/2020 FT20120477917923\BNK 10321656622015 CT PHU HUNG, MST 2300933057 ,dich vu chung thu so CA2  2,400,000</t>
  </si>
  <si>
    <t>5000872722</t>
  </si>
  <si>
    <t xml:space="preserve"> CÔNG TY TNHH CHÈ PHÚ MỸ</t>
  </si>
  <si>
    <t>Phương Nitoda</t>
  </si>
  <si>
    <t>Thôn Tâm Bằng, - Xã Mỹ Bằng - Huyện Yên Sơn - Tuyên Quang.</t>
  </si>
  <si>
    <t xml:space="preserve"> TOA CORPORATION</t>
  </si>
  <si>
    <t>Lầu 2, Tòa nhà VIPD, 04 Nguyễn Thị Minh Khai - Phường Đa Kao - Quận 1 - TP Hồ Chí Minh.</t>
  </si>
  <si>
    <t xml:space="preserve"> CÔNG TY TNHH KỸ THUẬT THƯƠNG MẠI DỊCH VỤ VIỆT HÀN</t>
  </si>
  <si>
    <t>166/28 Lý Thái Tổ - Phường 01 - Quận 3 - TP Hồ Chí Minh.</t>
  </si>
  <si>
    <t xml:space="preserve"> 0302441360</t>
  </si>
  <si>
    <t>001076013089</t>
  </si>
  <si>
    <t>TRẦN HẢI ANH</t>
  </si>
  <si>
    <t xml:space="preserve"> 0109159239</t>
  </si>
  <si>
    <t xml:space="preserve"> CÔNG TY TNHH KỸ THUẬT NĂNG LƯỢNG PHÚC NGUYÊN</t>
  </si>
  <si>
    <t>Số 62, phố Lương Yên - Phường Bạch Đằng - Quận Hai Bà Trưng - Hà Nội.</t>
  </si>
  <si>
    <t>CÔNG TY CỔ PHẦN THỦY ĐIỆN THUẬN HÒA HÀ GIANG</t>
  </si>
  <si>
    <t>5100408578</t>
  </si>
  <si>
    <t>Nhà A2, khu Hà Trung, tổ 8 - Phường Quang Trung - TP Hà Giang - Hà Giang.</t>
  </si>
  <si>
    <t>04/05/2020 FT20125756180903\BNK 10321656622015 Ngan hang TMCP Ky thuong Viet Nam 1 0321656622015 Cty mst0107501425 va cty 0108282166 hd dien tu  1,600,000</t>
  </si>
  <si>
    <t>19/05/2020 FT20140483760971\BNK 10321656622015 Entrust tt hoa don dien tu  800,000</t>
  </si>
  <si>
    <t>20/05/2020 FT20141956927562\BNK 10321656622015 Cty Cp thuy dien Thuan Hoa HG mst 5 100408578 tra tien chu ky so  2,510,800</t>
  </si>
  <si>
    <t>0109159239</t>
  </si>
  <si>
    <t>CÔNG TY TNHH KỸ THUẬT NĂNG LƯỢNG PHÚC NGUYÊN</t>
  </si>
  <si>
    <t xml:space="preserve"> CÔNG TY TNHH PTTM HƯNG THỊNH PHÁT</t>
  </si>
  <si>
    <t>0106194482</t>
  </si>
  <si>
    <t>Số 11A, ngõ 281/65 Trương Định - Phường Tương Mai - Quận Hoàng Mai - Hà Nội.</t>
  </si>
  <si>
    <t>CÔNG TY TNHH ĐẦU TƯ KINH DOANH ĐẠI AN PHÁT</t>
  </si>
  <si>
    <t>0108297204</t>
  </si>
  <si>
    <t>CÔNG TY TNHH ĐẦU TƯ THƯƠNG MẠI VÀ DỊCH VỤ TOMECO TOÀN CẦU</t>
  </si>
  <si>
    <t>Số 90, Ngõ 107 Lĩnh Nam - Phường Vĩnh Hưng - Quận Hoàng Mai - Hà Nội.</t>
  </si>
  <si>
    <t>0108003630</t>
  </si>
  <si>
    <t xml:space="preserve"> CÔNG TY TNHH ĐẦU TƯ SẢN XUẤT VÀ THƯƠNG MẠI HOÀNG GIA</t>
  </si>
  <si>
    <t>Số 52 ngõ 168 đường Kim Giang - Phường Đại Kim - Quận Hoàng Mai - Hà Nội.</t>
  </si>
  <si>
    <t xml:space="preserve"> 0103050901</t>
  </si>
  <si>
    <t>CÔNG TY TNHH MAI ẢNH</t>
  </si>
  <si>
    <t>Số 9 Đào Duy Anh - Phường Phương Liên - Quận Đống đa - Hà Nội.</t>
  </si>
  <si>
    <t>Số 22, phố Xã Đàn - Phường Phương Liên - Quận Đống đa - Hà Nội.</t>
  </si>
  <si>
    <t>Anh Hải Nante</t>
  </si>
  <si>
    <t>Số 5C, ngách 27, ngõ 337, phố Định Công - Phường Định Công - Quận Hoàng Mai - Hà Nội.</t>
  </si>
  <si>
    <t>CÔNG TY TNHH ĐẦU TƯ VÀ PHÁT TRIỂN HÀ NỘI CHÂU THIÊN</t>
  </si>
  <si>
    <t>0109006962</t>
  </si>
  <si>
    <t>Tầng 16, Toà Nhà Văn Phòng Nam Cường Building, Km4, đường Tố - Phường La Khê - Quận Hà Đông - Hà Nội.</t>
  </si>
  <si>
    <t>Trang vợ Hùng kế toán</t>
  </si>
  <si>
    <t>CÔNG TY TNHH SẢN XUẤT THƯƠNG MẠI THÀNH NAM</t>
  </si>
  <si>
    <t>0700833871</t>
  </si>
  <si>
    <t>Km số 8 Quốc lộ 1A - Xã Thanh Phong - Huyện Thanh Liêm - Hà Nam.</t>
  </si>
  <si>
    <t>CÔNG TY TNHH THƯƠNG MẠI DƯỢC PHẨM D.O.P</t>
  </si>
  <si>
    <t>2800824923</t>
  </si>
  <si>
    <t>Số nhà 234 - 236 Trần Phú - Phường Lam Sơn - Thành phố Thanh Hoá - Thanh Hoá.</t>
  </si>
  <si>
    <t>0101176306</t>
  </si>
  <si>
    <t>Số 56 đường Ngọc Hồi - Thị trấn Văn Điển - Huyện Thanh Trì - Hà Nội.</t>
  </si>
  <si>
    <t>CÔNG TY TNHH VẬN TẢI VÀ THƯƠNG MẠI THẾ HỆ</t>
  </si>
  <si>
    <t>Phương 0982285087</t>
  </si>
  <si>
    <t>thehe2009@gmail.com</t>
  </si>
  <si>
    <t>21/05/2020 FT20142086042704\BNK 10321656622015 Su dung hoa don dien tu Hoang Duong  800,000</t>
  </si>
  <si>
    <t>19/05/2020 FT20140029566880\BNK 10321656622015 Cty T va T thanh toan tien GH cks  2,407,300</t>
  </si>
  <si>
    <t>21/04/2020 FT20112911530782\BNK 10321656622015 token  1,277,100</t>
  </si>
  <si>
    <t xml:space="preserve">CÔNG TY CỔ PHẦN ĐẦU TƯ VÀ CÔNG NGHỆ VIETTOP </t>
  </si>
  <si>
    <t>0109186698</t>
  </si>
  <si>
    <t>Số 618, đường Hoàng Hoa Thám, - Phường Bưởi - Quận Tây Hồ - Hà Nội.</t>
  </si>
  <si>
    <t>0105940307</t>
  </si>
  <si>
    <t>CÔNG TY TNHH HỆ THỐNG ĐIỆN VÀ TỰ ĐỘNG HÓA VIỆT NAM</t>
  </si>
  <si>
    <t>Số 71 Cổ Bi - Xã Cổ Bi - Huyện Gia Lâm - Hà Nội.</t>
  </si>
  <si>
    <t>Chị Bích: 0965757547</t>
  </si>
  <si>
    <t>CÔNG TY TNHH QUÀ TẶNG CHÂU Á</t>
  </si>
  <si>
    <t>0107004085</t>
  </si>
  <si>
    <t>Số 36, ngõ 521 đường Nguyễn Trãi - Phường Thanh Xuân Nam - Quận Thanh Xuân - Hà Nội.</t>
  </si>
  <si>
    <t>0106785943</t>
  </si>
  <si>
    <t>CÔNG TY TNHH THƯƠNG MẠI VÀ DỊCH VỤ MÁY TÍNH HƯNG VIỆT</t>
  </si>
  <si>
    <t>Số 1B, ngõ 79A, phố Lương Khánh Thiện - Phường Tương Mai - Quận Hoàng Mai - Hà Nội.</t>
  </si>
  <si>
    <t>Đã TT nacencomm</t>
  </si>
  <si>
    <t>2600984609</t>
  </si>
  <si>
    <t>CÔNG TY TNHH CHÈ TÂN BÌNH</t>
  </si>
  <si>
    <t>Xóm Tân Bình - Xã Võ Miếu - Huyện Thanh Sơn - Phú Thọ.</t>
  </si>
  <si>
    <t>0949638333</t>
  </si>
  <si>
    <t>TT cho Long</t>
  </si>
  <si>
    <t>TT Nacencomm.</t>
  </si>
  <si>
    <t>2301122157</t>
  </si>
  <si>
    <t>CÔNG TY TNHH CÔNG NGHỆ NHỰA SINH HỌC DHS</t>
  </si>
  <si>
    <t>Cụm 4, Khu Bồ Sơn - Phường Võ Cường - Thành phố Bắc Ninh - Bắc Ninh.</t>
  </si>
  <si>
    <t>26/05/2020 FT20147110691864\BNK 10321656622015 MBVCB.418711487.367196.cty hung thi nh phat tt tien hoa don dien tu.CT tu 0301000328628 VU VAN THANH  925,000</t>
  </si>
  <si>
    <t>0105702302</t>
  </si>
  <si>
    <t>CÔNG TY TNHH XÂY DỰNG VÀ THƯƠNG MẠI NGỌC TIẾN</t>
  </si>
  <si>
    <t>Số 64, ngõ 99, tổ 12 Định Công Hạ - Phường Định Công - Quận Hoàng Mai - Hà Nội.</t>
  </si>
  <si>
    <t>0105809863</t>
  </si>
  <si>
    <t>CÔNG TY TNHH CÔNG NGHỆ VÀ THIẾT BỊ GIÁO DỤC MINH PHÚ</t>
  </si>
  <si>
    <t>Số 10, ngách 8/61, đường 442 - Xã Tân Lập - Huyện Đan Phượng - Hà Nội.</t>
  </si>
  <si>
    <t>Chị Thanh 5 Cty</t>
  </si>
  <si>
    <t>0109180897</t>
  </si>
  <si>
    <t>CÔNG TY TNHH GẠCH KHÔNG NUNG THUẬN AN</t>
  </si>
  <si>
    <t>487 đường Nguyễn Trực, thôn Mùi, - Xã Bích Hòa - Huyện Thanh Oai - Hà Nội.</t>
  </si>
  <si>
    <t>BÁO KHOA HỌC VÀ PHÁT TRIỂN</t>
  </si>
  <si>
    <t>Sếp Tâm</t>
  </si>
  <si>
    <t>0100837715</t>
  </si>
  <si>
    <t>Số 70 Trần Hưng Đạo - - Quận Hoàn Kiếm - Hà Nội.</t>
  </si>
  <si>
    <t>0100368083</t>
  </si>
  <si>
    <t>CÔNG TY TNHH ĐẦU TƯ XÂY DỰNG VÀ THƯƠNG MẠI INTERDECOR</t>
  </si>
  <si>
    <t>Số nhà 315, tổ 45, Khu Đền Lừ - Phường Hoàng Văn Thụ - Quận Hoàng Mai - Hà Nội.</t>
  </si>
  <si>
    <t xml:space="preserve"> CÔNG TY CỔ PHẦN THƯƠNG MẠI VÀ TRUYỀN THÔNG NAM LỢI</t>
  </si>
  <si>
    <t>0106931471</t>
  </si>
  <si>
    <t>Số nhà 18, hẻm 2/2/1, ngách 2/2, ngõ 2, phố Hoàng Liệt - Phường Hoàng Liệt - Quận Hoàng Mai - Hà Nội.</t>
  </si>
  <si>
    <t>27/05/2020 13:40:07 27/05/2020 CONG TY TNHH HE THONG DIEN VA TU DONG HOA VIET NAM 0105940307 TT GIA HAN CHU KY SO 3 NAM CHO NACENCOM  2,907,300</t>
  </si>
  <si>
    <t>0108010645</t>
  </si>
  <si>
    <t>CÔNG TY TNHH TƯ VẤN VÀ XÂY DỰNG HDC</t>
  </si>
  <si>
    <t>Số nhà 28B, Ngách 1 Ngõ Thổ Quan, Đường Khâm Thiên - Phường Thổ Quan - Quận Đống đa - Hà Nội.</t>
  </si>
  <si>
    <t>2301081221</t>
  </si>
  <si>
    <t xml:space="preserve"> CÔNG TY TNHH TOUGH TECH. (VIỆT NAM)</t>
  </si>
  <si>
    <t>Số 03, Đường 21A, KCN, Đô thị và Dịch vụ VSIP Bắc Ninh - Xã Đại Đồng - Huyện Tiên Du - Bắc Ninh.</t>
  </si>
  <si>
    <t>26/05/2020 FT20147744595610\BNK 10321656622015 Cty hoang tien tt tien hoa don dien tu  925,000</t>
  </si>
  <si>
    <t>0108124466</t>
  </si>
  <si>
    <t>CÔNG TY TNHH NGUYÊN VŨ VIỆT NAM</t>
  </si>
  <si>
    <t>Số 26/218/27/22 Lạc Long Quân - Phường Bưởi - Quận Tây Hồ - Hà Nội.</t>
  </si>
  <si>
    <t>27/05/2020 FT20148A01023713\XNV 10321656622015 (B/O CTY TNHH VAN TAI&amp;TM THE HE) CTY TNHH VT VA TM THE HE GIA HAN CHU KY SO  2,907,300</t>
  </si>
  <si>
    <t>28/05/2020 FT20149782909560\BNK 10321656622015 Cty nam loi ck tien hoa don dien tu  800,000</t>
  </si>
  <si>
    <t>27/05/2020 FT20148783496206\BNK 10321656622015 Ditech tt gia han topken  4,210,800</t>
  </si>
  <si>
    <t>CK Long - Long trừ ck chị Dương 1.7tr</t>
  </si>
  <si>
    <t>Bù Trừ Đăng ký kinh doanh</t>
  </si>
  <si>
    <t>0109197900</t>
  </si>
  <si>
    <t>CÔNG TY TNHH PYRA CHÂU ÂU</t>
  </si>
  <si>
    <t>Số 9 Nguyễn Ngọc Nại, - Phường Khương Mai - Quận Thanh Xuân - Hà Nội.</t>
  </si>
  <si>
    <t>0106101738</t>
  </si>
  <si>
    <t>CÔNG TY TNHH ASL VIỆT NAM LOGISTICS</t>
  </si>
  <si>
    <t>Tầng 5, tòa nhà SUDICO, KĐT Mỹ Đình - Phường Mỹ Đình 1 - Quận Nam Từ Liêm - Hà Nội.</t>
  </si>
  <si>
    <t>1101948258</t>
  </si>
  <si>
    <t>CÔNG TY TNHH CÔNG NGHỆ BAO BÌ GIẤY TIẾN PHÁT</t>
  </si>
  <si>
    <t>Lô E19 đường số 10, Cụm công nghiệp Hải Sơn Đức Hòa Đông, - Xã Đức Hòa Đông - Huyện Đức Hoà - Long An.</t>
  </si>
  <si>
    <t>0106503564</t>
  </si>
  <si>
    <t>CÔNG TY TNHH TL &amp; THY PHƯƠNG</t>
  </si>
  <si>
    <t>0987721852 Oanh  kế toán</t>
  </si>
  <si>
    <t>Số 34, ngõ 81, đường Láng Hạ - Phường Thành Công - Quận Ba Đình - Hà Nội.</t>
  </si>
  <si>
    <t>CÔNG TY TNHH BAO BÌ AN PHÚ</t>
  </si>
  <si>
    <t>0101160264</t>
  </si>
  <si>
    <t>Số 3 Tôn Đức Thắng, Phường Quốc Tử Giám, Quận Đống Đa, Thành Phố Hà Nội, Việt Nam</t>
  </si>
  <si>
    <t>22/04/2020 FT20113473352117\BNK 10321656622015 MST 0107334559 tt hoa don so 001112 0 ngay 18 04 200  800,000</t>
  </si>
  <si>
    <t>Tự làm CK cho KH</t>
  </si>
  <si>
    <t>C Tú Đống Đa</t>
  </si>
  <si>
    <t>Tự làm</t>
  </si>
  <si>
    <t>Chưa phát hành chưa ttoan</t>
  </si>
  <si>
    <t>TT Chúc: ok</t>
  </si>
  <si>
    <t>TT 1.750.000đ rồi</t>
  </si>
  <si>
    <t>TT đủ rồi</t>
  </si>
  <si>
    <t>Ttoan 500k rồi</t>
  </si>
  <si>
    <t>Đang đòi 800k, ck cho KH 125k</t>
  </si>
  <si>
    <t>Đang đòi</t>
  </si>
  <si>
    <t>đã ttoan 800k</t>
  </si>
  <si>
    <t>Đã đòi</t>
  </si>
  <si>
    <t>c Hằng thuế Hoàng Mai (đã ck cho KH 300k)</t>
  </si>
  <si>
    <t>TT 500k, còn ck cho KH 300k</t>
  </si>
  <si>
    <t>c Vân Đống Đa</t>
  </si>
  <si>
    <t>Anh Tú Đống Đa</t>
  </si>
  <si>
    <t>Chị Dung Đống Đa</t>
  </si>
  <si>
    <t>Đã ck khách 125k</t>
  </si>
  <si>
    <t>(21/05/2020 FT20142105300265\BNK 10321656622015 Techcombank 10321656622015 LAI THI HAI YEN chuyen khoan  3,110,800)</t>
  </si>
  <si>
    <t>CÔNG TY CỔ PHẦN TƯ VẤN XÂY DỰNG - MÔI TRƯỜNG VÀ THI
CÔNG XÂY LẮP VIỆT NAM</t>
  </si>
  <si>
    <t>0107607598</t>
  </si>
  <si>
    <t>Số 66, ngõ 62, đường Nguyễn Chí Thanh, Phường Láng Thượng, Quận Đống Đa, Thành Phố Hà Nội,
Việt Nam</t>
  </si>
  <si>
    <t>Chú Quang 0913017820</t>
  </si>
  <si>
    <t>tranquang820@gmail.com</t>
  </si>
  <si>
    <t>CÔNG TY CỔ PHẦN CÔNG NGHỆ THIẾT KẾ VÀ CHẾ BIẾN LÂM
SẢN</t>
  </si>
  <si>
    <t>0100103263</t>
  </si>
  <si>
    <t>Km 12, Thị trấn Văn Điển, Huyện Thanh Trì, Thành Phố Hà Nội, Việt Nam.</t>
  </si>
  <si>
    <t>TT Tài khoản Chúc 1229k</t>
  </si>
  <si>
    <t>Chuyển đối soát tháng 6</t>
  </si>
  <si>
    <t>Chị mai: 0948827486</t>
  </si>
  <si>
    <t>TT TK Chúc 2tr</t>
  </si>
  <si>
    <t>01/06/2020 FT20153020162506\BNK 10321656622015 MBVCB.423484364.646336.sumatech tha nh toan hoa don dien tu.CT tu 03310 00398562 PHUNG NGOC HUY toi 10  800,000</t>
  </si>
  <si>
    <t>đc sử dụng ngày 25/5 - TT Tài khoản Chúc</t>
  </si>
  <si>
    <t>03/06/2020 FT20155007613003\BNK 10321656622015 MBVCB.425383186.164279.Cty Bong Sen Da thanh toan hoa don dt.CT tu 071 1000216211 NGUYEN THI DUNG toi  800,000</t>
  </si>
  <si>
    <t>03/06/2020 FT20155392000604\BNK 10321656622015 CTY TNHH QC TRUYEN THONG TINH HOA M ST 0105228562  800,000</t>
  </si>
  <si>
    <t xml:space="preserve"> 01/06/2020 FT20153124960000\BNK 10321656622015 Hoa don dien tu Cong Ty TNHH Gach K hong Nung Thuan An 0109180897  480,000</t>
  </si>
  <si>
    <t>TT Tài khoản Chúc 2tr</t>
  </si>
  <si>
    <t>05/06/2020 FT20157602766007\BNK 10321656622015 CTY CHAU THIEN THANH TOAN TIEN MUA PHAN MIEN BAO HIEM  1,100,000</t>
  </si>
  <si>
    <t>0107915673</t>
  </si>
  <si>
    <t>CÔNG TY CỔ PHẦN CÔNG NGHỆ ANZ VIỆT NAM</t>
  </si>
  <si>
    <t>Số nhà 12, ngách 99/145 Định Công Hạ - Phường Định Công - Quận Hoàng Mai - Hà Nội.</t>
  </si>
  <si>
    <t>0108160640</t>
  </si>
  <si>
    <t>CÔNG TY TNHH DƯỢC PHẨM VÀ THIẾT BỊ Y TẾ HỒNG PHÚC</t>
  </si>
  <si>
    <t>Số 6 liền kề 7, khu nhà ở cán bộ chiến sĩ C14 - Phường Vạn Phúc - Quận Hà Đông - Hà Nội.</t>
  </si>
  <si>
    <t xml:space="preserve"> 0108250125</t>
  </si>
  <si>
    <t>CÔNG TY CỔ PHẦN ĐẦU TƯ AV VIỆT NAM</t>
  </si>
  <si>
    <t>Số nhà 07 Ngõ 68 phố Nam Đồng - Phường Nam Đồng - Quận Đống đa - Hà Nội.</t>
  </si>
  <si>
    <t>0104568830</t>
  </si>
  <si>
    <t>CÔNG TY CỔ PHẦN TƯ VẤN XÂY DỰNG HÀ AN</t>
  </si>
  <si>
    <t>Nhà số 11, ngõ 46/42, phố Phạm Ngọc Thạch - Phường Phương Liên - Quận Đống đa - Hà Nội.</t>
  </si>
  <si>
    <t>0107945082</t>
  </si>
  <si>
    <t>CÔNG TY TNHH THƯƠNG MẠI VÀ DỊCH VỤ KỸ THUẬT AN THỊNH PHÁT VIỆT NAM</t>
  </si>
  <si>
    <t>Lô số 10, ô dịch vụ 12 thuộc Khu đất dịch vụ Bằng A, Tổ 1 - Phường Hoàng Liệt - Quận Hoàng Mai - Hà Nội.</t>
  </si>
  <si>
    <t>0201886187</t>
  </si>
  <si>
    <t>CÔNG TY TNHH ĐẦU TƯ PHÁT TRIỂN VÀ SẢN XUẤT KHÔI NGUYÊN</t>
  </si>
  <si>
    <t>Thôn 5 (tại nhà ông Đinh Khắc Lượng) - Xã Phả Lễ - Huyện Thuỷ Nguyên - Hải Phòng.</t>
  </si>
  <si>
    <t>Em Loan: 0987049922</t>
  </si>
  <si>
    <t>thanhloanpham2020@gmail.com</t>
  </si>
  <si>
    <t>CÔNG TY CỔ PHẦN ĐẦU TƯ VÀ CÔNG NGHỆ VIETTOP</t>
  </si>
  <si>
    <t>0103239992</t>
  </si>
  <si>
    <t>CÔNG TY CỔ PHẦN DƯỢC SƠN LÂM</t>
  </si>
  <si>
    <t>Chị Anh Thường Tín</t>
  </si>
  <si>
    <t>Lô CN6 , Cụm công nghiệp Duyên Thái - Xã Duyên Thái - Huyện Thường Tín - Hà Nội.</t>
  </si>
  <si>
    <t>ketoansonlam@gmail.com</t>
  </si>
  <si>
    <t>e trang: 0392215096</t>
  </si>
  <si>
    <t>0108110858</t>
  </si>
  <si>
    <t>CÔNG TY TNHH THƯƠNG MẠI VÀ ĐẦU TƯ VẠN LỢI</t>
  </si>
  <si>
    <t>Biệt thự số 2 Lô III-4, số 151A Nguyễn Đức Cảnh - Phường Tương Mai - Quận Hoàng Mai - Hà Nội.</t>
  </si>
  <si>
    <t>08/06/2020 FT20160000000001\LHA 10321656622015 TRA TIEN HD SO 0107607598/CA2- EINVOICE CUNG CAP PHAN MEM HOA DON DIEN TU: CA2-EINVOICE  800,000</t>
  </si>
  <si>
    <t>08/06/2020 FT20160A01026545\XNV 10321656622015 (B/O CTY CP CONG NGHE TKE&amp;CHE BIEN LAM SAN) CTY CHE BIEN LAM SAN TRA TIEN HD SO 0100103263/CA2-EINVOICE CUNG CAP PHAN MEM HOA DON DIEN TU CA2-EINVOICE</t>
  </si>
  <si>
    <t>09/06/2020 FT20161004794597\BNK 10321656622015 Tra tien phi dv hoa don dien tu  800,000</t>
  </si>
  <si>
    <t>0108225626</t>
  </si>
  <si>
    <t xml:space="preserve"> CÔNG TY TNHH THƯƠNG MẠI AN HẠ</t>
  </si>
  <si>
    <t>Nhà Số 35 ngách 47 ngõ 255 đường Lĩnh Nam - Phường Vĩnh Hưng - Quận Hoàng Mai - Hà Nội.</t>
  </si>
  <si>
    <t xml:space="preserve"> 0106794095</t>
  </si>
  <si>
    <t>CÔNG TY TNHH RUBIKA HÀ NỘI</t>
  </si>
  <si>
    <t>Số 45 ngõ 183 Lĩnh Nam - Phường Vĩnh Hưng - Quận Hoàng Mai - Hà Nội.</t>
  </si>
  <si>
    <t xml:space="preserve"> 0102024708</t>
  </si>
  <si>
    <t>0107807477</t>
  </si>
  <si>
    <t>CÔNG TY TNHH THIẾT BỊ VÀ CÔNG NGHỆ ASIAPHARM</t>
  </si>
  <si>
    <t>Chị Bích Amec</t>
  </si>
  <si>
    <t>Tầng 4, số nhà 12, ngõ 580, đường La Thành - Phường Giảng Võ - Quận Ba Đình - Hà Nội.</t>
  </si>
  <si>
    <t>0107500284</t>
  </si>
  <si>
    <t>CÔNG TY CỔ PHẦN XUẤT NHẬP KHẨU CHÀO NGÀY MỚI</t>
  </si>
  <si>
    <t>Số nhà 28, ngõ 127 /56 phố Hào Nam - Phường ô Chợ Dừa - Quận Đống đa - Hà Nội.</t>
  </si>
  <si>
    <t>Chị Thành thuế Đống Đa</t>
  </si>
  <si>
    <t>CK Khách 300K</t>
  </si>
  <si>
    <t>0102304399</t>
  </si>
  <si>
    <t>CÔNG TY CỔ PHẦN ĐẦU TƯ THƯƠNG MẠI SẢN XUẤT VÀ DỊCH VỤ HD</t>
  </si>
  <si>
    <t xml:space="preserve">Số 28, ngách 127/56 Hào Nam - Phường ô Chợ Dừa - Quận Đống đa - Hà Nội.
</t>
  </si>
  <si>
    <t>0101677983</t>
  </si>
  <si>
    <t>CÔNG TY CỔ PHẦN TƯ VẤN ANH</t>
  </si>
  <si>
    <t>168 tổ 94 Hào Nam - Phường ô Chợ Dừa - Quận Đống đa - Hà Nội.</t>
  </si>
  <si>
    <t>CÔNG TY CỔ PHẦN XUẤT NHẬP KHẨU HÒA PHÚ</t>
  </si>
  <si>
    <t>0106122336</t>
  </si>
  <si>
    <t xml:space="preserve">Lô 184 - 185 C4, khu đô thị Đại Kim, đường Nguyễn Cảnh Dị - Phường Đại Kim - Quận Hoàng Mai - Hà Nội.
</t>
  </si>
  <si>
    <t>0106352717</t>
  </si>
  <si>
    <t>CÔNG TY CỔ PHẦN ĐẦU TƯ CÔNG NGHỆ PHẦN MỀM STC</t>
  </si>
  <si>
    <t>507A1 phố Phạm Ngọc Thạch - Phường Phương Liên - Quận Đống đa - Hà Nội.</t>
  </si>
  <si>
    <t>0107772640</t>
  </si>
  <si>
    <t>CÔNG TY CỔ PHẦN CƠ ĐIỆN TLC VIỆT NAM</t>
  </si>
  <si>
    <t>Chi Thanh 5 Cty</t>
  </si>
  <si>
    <t>Số 58b Vũ Trọng Phụng - Phường Thanh Xuân Trung - Quận Thanh Xuân - Hà Nội.</t>
  </si>
  <si>
    <t>CÔNG TY CỔ PHẦN VẬN TẢI VÀ LẮP MÁY CÔNG NGHIỆP VIỆT NAM</t>
  </si>
  <si>
    <t>số 2, ngách 6, ngõ 74 đường Trường Chinh, phường Phương Mai - Phường Phương Mai - Quận Đống đa - Hà Nội.</t>
  </si>
  <si>
    <t>0981125336</t>
  </si>
  <si>
    <t>letrangk8@gmail.com</t>
  </si>
  <si>
    <t>Hoàng Dương: 0913014716 - 0983014716</t>
  </si>
  <si>
    <t>Lương DHC</t>
  </si>
  <si>
    <t>Số nhà 46 ngõ 205 Định Công Thượng, Phường Định Công, Quận Hoàng Mai, Thành Phố Hà Nội, Việt Nam.</t>
  </si>
  <si>
    <t>Lương 0972726765</t>
  </si>
  <si>
    <t>0106219786</t>
  </si>
  <si>
    <t xml:space="preserve">Thành </t>
  </si>
  <si>
    <t>CÔNG TY CỔ PHẦN OHAY GROUP</t>
  </si>
  <si>
    <t>Số nhà 15, ngõ 116, đường Nguyễn Xiển - Phường Hạ Đình - Quận Thanh Xuân - Hà Nội.</t>
  </si>
  <si>
    <t>CÔNG TY TNHH ĐẦU TƯ THD</t>
  </si>
  <si>
    <t>0102699309</t>
  </si>
  <si>
    <t>Số 23 D24 khu D Geleximco đường Lê Trọng Tấn - Phường Dương Nội - Quận Hà Đông - Hà Nội.</t>
  </si>
  <si>
    <t xml:space="preserve"> CÔNG TY TNHH ĐẦU TƯ THƯƠNG MẠI KIM THÀNH</t>
  </si>
  <si>
    <t>Hương Nitoda</t>
  </si>
  <si>
    <t>2601039326</t>
  </si>
  <si>
    <t>Xóm Chanh, - Xã Sơn Hùng - Huyện Thanh Sơn - Phú Thọ.</t>
  </si>
  <si>
    <t>Hương: 0901738445</t>
  </si>
  <si>
    <t>tinahuong@nitoda.com</t>
  </si>
  <si>
    <t>annaphuong@nitoda.com</t>
  </si>
  <si>
    <t>Tầng 8, tòa nhà HITC, số 239 đường Xuân Thủy - Phường Dịch Vọng - Quận Cầu Giấy - Hà Nội.</t>
  </si>
  <si>
    <t>Ngà 0338518784</t>
  </si>
  <si>
    <t xml:space="preserve"> DOANH NGHIỆP TƯ NHÂN VÂN TUYẾT</t>
  </si>
  <si>
    <t xml:space="preserve"> 0400470634</t>
  </si>
  <si>
    <t>168 Hải Phòng - Phường Tân Chính - Quận Thanh Khê - Đà Nẵng.</t>
  </si>
  <si>
    <t xml:space="preserve"> 4601556896</t>
  </si>
  <si>
    <t>CÔNG TY CỔ PHẦN PHÁT TRIỂN NĂNG LƯỢNG SOLAR VIỆT</t>
  </si>
  <si>
    <t>Số nhà 72, tổ 12 - Phường Túc Duyên - Thành phố Thái Nguyên - Thái Nguyên.</t>
  </si>
  <si>
    <t>Chị Thu 0983020036</t>
  </si>
  <si>
    <t>0107505028</t>
  </si>
  <si>
    <t>CÔNG TY CỔ PHẦN CƠ ĐIỆN VÀ XÂY DỰNG CHIẾN THẮNG</t>
  </si>
  <si>
    <t>Nhà số 10 ngách 241/66 phố Chợ Khâm Thiên - Phường Phương Liên - Quận Đống đa - Hà Nội.</t>
  </si>
  <si>
    <t>0101288144</t>
  </si>
  <si>
    <t xml:space="preserve"> CÔNG TY CỔ PHẦN SAO VÀNG</t>
  </si>
  <si>
    <t>Số 130 phố Tôn Đức Thắng - Phường Quốc Tử Giám - Quận Đống đa - Hà Nội.</t>
  </si>
  <si>
    <t>12/06/2020 FT20164004373045\BNK 10321656622015 0101677983 thanh toan phi dich vu h oa don dien tu  800,000</t>
  </si>
  <si>
    <t>TT 2.5tr Chúc</t>
  </si>
  <si>
    <t>0100108247</t>
  </si>
  <si>
    <t>TỔNG CÔNG TY XÂY DỰNG CÔNG TRÌNH GIAO THÔNG 8 - CTCP</t>
  </si>
  <si>
    <t>Nhung Đức Hùng</t>
  </si>
  <si>
    <t>Số 18 phố Hồ Đắc Di - Phường Quang Trung - Quận Đống đa - Hà Nội.</t>
  </si>
  <si>
    <t>CÔNG TY TNHH VIỆT ANH QUỐC</t>
  </si>
  <si>
    <t>84 Lê Văn Sĩ - Phường Hoà Minh - Quận Liên Chiểu - Đà Nẵng.</t>
  </si>
  <si>
    <t>0401595548</t>
  </si>
  <si>
    <t>Ban Thùy History</t>
  </si>
  <si>
    <t xml:space="preserve">Trang bạn thùy History: </t>
  </si>
  <si>
    <t>CÔNG TY TNHH TRUYỀN THÔNG CÔNG NGHỆ TOPVN</t>
  </si>
  <si>
    <t>0106025660</t>
  </si>
  <si>
    <t xml:space="preserve">Số 112 đường Tôn Đức Thắng - Phường Quốc Tử Giám - Quận Đống đa - Hà Nội.
</t>
  </si>
  <si>
    <t>CÔNG TY TNHH DỊCH VỤ BẢO VỆ AN NINH ĐẠI THÀNH</t>
  </si>
  <si>
    <t>Chị Nguyên thuế Đống Đa</t>
  </si>
  <si>
    <t>0107478751</t>
  </si>
  <si>
    <t>Tầng 4, Số 20 phố Nam Đồng - Phường Nam Đồng - Quận Đống đa - Hà Nội.</t>
  </si>
  <si>
    <t>Hằng: 0378549550</t>
  </si>
  <si>
    <t>CÔNG TY CỔ PHẦN ĐẦU TƯ Ô TÔ SÀI GÒN</t>
  </si>
  <si>
    <t>0312554758</t>
  </si>
  <si>
    <t>80/9 Đường số 4 - Phường Trường Thọ - Quận Thủ Đức - TP Hồ Chí Minh.</t>
  </si>
  <si>
    <t>TT ngày 10/6</t>
  </si>
  <si>
    <t>CÔNG TY CP TRUYỀN THÔNG ĐA PHƯƠNG TIỆN HÀ NỘI MỚI</t>
  </si>
  <si>
    <t>151 Đặng Văn Ngữ - Phường Phương Liên - Quận Đống đa - Hà Nội.</t>
  </si>
  <si>
    <t>0108156683</t>
  </si>
  <si>
    <t>diepanhdv@gmail.com.</t>
  </si>
  <si>
    <t>DOANH NGHIỆP TƯ NHÂN TÙNG HÀ</t>
  </si>
  <si>
    <t>0101769169</t>
  </si>
  <si>
    <t>Số 96, phố Tôn Thất Tùng - Phường Khương Thượng - Quận Đống đa - Hà Nội.</t>
  </si>
  <si>
    <t xml:space="preserve"> CÔNG TY TNHH THƯƠNG MẠI DỊCH VỤ VÀ DU LỊCH PHƯỢNG HOÀNG</t>
  </si>
  <si>
    <t xml:space="preserve"> 0104354525</t>
  </si>
  <si>
    <t>Số 6 B2 tổ 33 - Phường Phương Liên - Quận Đống đa - Hà Nội.</t>
  </si>
  <si>
    <t>CÔNG TY CỔ PHẦN XUẤT NHẬP KHẨU THƯƠNG MẠI VÀ PHÂN PHỐI MYS</t>
  </si>
  <si>
    <t>0106752867</t>
  </si>
  <si>
    <t>Số nhà 52/80, phố Chợ Khâm Thiên - Phường Trung Phụng - Quận Đống đa - Hà Nội.</t>
  </si>
  <si>
    <t>Lan 0975774972</t>
  </si>
  <si>
    <t>CÔNG TY TNHH NHẬT HƯƠNG THƯƠNG MẠI VÀ DỊCH VỤ</t>
  </si>
  <si>
    <t>0106295716</t>
  </si>
  <si>
    <t xml:space="preserve"> Số 12, phố Thanh Miến - Phường Văn Miếu - Quận Đống đa - Hà Nội.</t>
  </si>
  <si>
    <t>0107618984</t>
  </si>
  <si>
    <t>CÔNG TY TNHH DỊCH VỤ LÂM ANH MINH</t>
  </si>
  <si>
    <t>Số 1 ngách 41/19 phố Đông Tác - Phường Kim Liên - Quận Đống đa - Hà Nội.</t>
  </si>
  <si>
    <t xml:space="preserve"> 0102074089</t>
  </si>
  <si>
    <t xml:space="preserve"> CÔNG TY TNHH VẬN TẢI HƯNG THỊNH</t>
  </si>
  <si>
    <t>Số 31, phố An Trạch - Phường Quốc Tử Giám - Quận Đống đa - Hà Nội.</t>
  </si>
  <si>
    <t xml:space="preserve"> CÔNG TY TNHH ĐỨC HIẾU</t>
  </si>
  <si>
    <t>0100784083</t>
  </si>
  <si>
    <t>Số A9B, ngõ 239, phố Đặng Tiến Đông - Phường Trung Liệt - Quận Đống đa - Hà Nội.</t>
  </si>
  <si>
    <t>CÔNG TY TNHH THƯƠNG MẠI VÀ DỊCH VỤ 3R VIỆT NAM</t>
  </si>
  <si>
    <t xml:space="preserve"> 0106794176</t>
  </si>
  <si>
    <t>Số 75, Ngõ 260, phố Chợ Khâm Thiên - Phường Phương Liên - Quận Đống đa - Hà Nội.</t>
  </si>
  <si>
    <t>CÔNG TY TNHH TƯ VẤN VÀ ĐÀO TẠO THÁNG TÁM</t>
  </si>
  <si>
    <t>0106910182</t>
  </si>
  <si>
    <t>Số 121 Đặng Văn Ngữ - Phường Phương Liên - Quận Đống đa - Hà Nội.</t>
  </si>
  <si>
    <t>0107915923</t>
  </si>
  <si>
    <t>CÔNG TY CỔ PHẦN CÔNG NGHỆ HIVC</t>
  </si>
  <si>
    <t>Tầng 6 số 11B Cát Linh - Phường Quốc Tử Giám - Quận Đống đa - Hà Nội.</t>
  </si>
  <si>
    <t xml:space="preserve"> CÔNG TY TNHH XUẤT NHẬP KHẨU THIẾT BỊ Y TẾ HTH</t>
  </si>
  <si>
    <t>Tẩng 2, Số 29, Ngõ 29 Xã Đàn - Phường Phương Liên - Quận Đống đa - Hà Nội.</t>
  </si>
  <si>
    <t>0107038662</t>
  </si>
  <si>
    <t>0102042400</t>
  </si>
  <si>
    <t>CÔNG TY TNHH TƯ VẤN MI NA</t>
  </si>
  <si>
    <t>Số 28 ngõ 61 phố Tôn Đức Thắng, phường Quốc Tử Giám - Phường Quốc Tử Giám - Quận Đống đa - Hà Nội.</t>
  </si>
  <si>
    <t>TRUNG TÂM TRỢ GIÚP NGƯỜI CAO TUỔI VÀ PHÁT TRIỂN CỘNG ĐỒNG</t>
  </si>
  <si>
    <t>0105091205</t>
  </si>
  <si>
    <t>18 ngõ 62/1 phố Văn Cao - Phường Liễu Giai - Quận Ba Đình - Hà Nội.</t>
  </si>
  <si>
    <t>hthcompanyltd@gmail.com</t>
  </si>
  <si>
    <t>0936622089</t>
  </si>
  <si>
    <t>0104483640</t>
  </si>
  <si>
    <t xml:space="preserve">CÔNG TY CỔ PHẦN Y DƯỢC NHẬT QUANG </t>
  </si>
  <si>
    <t>Số 101 phố Đặng Tiến Đông - Phường Trung Liệt - Quận Đống đa - Hà Nội.</t>
  </si>
  <si>
    <t xml:space="preserve"> Kim 0902075270</t>
  </si>
  <si>
    <t>CÔNG TY CỔ PHẦN THƯƠNG MẠI DỊCH VỤ BẤT ĐỘNG SẢN CMH</t>
  </si>
  <si>
    <t xml:space="preserve"> 0106650142</t>
  </si>
  <si>
    <t>Số 19 Ngõ 1 Đê La Thành - Phường Thổ Quan - Quận Đống đa - Hà Nội.</t>
  </si>
  <si>
    <t>thuychu72@gmail.com</t>
  </si>
  <si>
    <t>0903436708</t>
  </si>
  <si>
    <t xml:space="preserve"> 0101277738</t>
  </si>
  <si>
    <t>CÔNG TY CỔ PHẦN KỸ THUẬT VÀ THƯƠNG MẠI NGỌC LINH</t>
  </si>
  <si>
    <t>Nhà số 16, ngõ 34, phố Hào Nam - Phường ô Chợ Dừa - Quận Đống đa - Hà Nội.</t>
  </si>
  <si>
    <t>0105926253</t>
  </si>
  <si>
    <t>CÔNG TY CỔ PHẦN QUẢNG CÁO VÀ TRUYỀN THÔNG CON ĐƯỜNG VIỆT</t>
  </si>
  <si>
    <t>Số 16 ngõ 34 tổ 66 Hào Nam - Phường ô Chợ Dừa - Quận Đống đa - Hà Nội.</t>
  </si>
  <si>
    <t>CÔNG TY TNHH PHÁT TRIỂN CÔNG NGHỆ &amp; THƯƠNG MẠI GIGASTAR</t>
  </si>
  <si>
    <t>Số 104a, ngõ 107, đường Lĩnh Nam - Phường Vĩnh Hưng - Quận Hoàng Mai - Hà Nội.</t>
  </si>
  <si>
    <t>0107416265</t>
  </si>
  <si>
    <t xml:space="preserve"> CÔNG TY TNHH THƯƠNG MẠI ĐẦU TƯ MINH THÀNH</t>
  </si>
  <si>
    <t>0107725425</t>
  </si>
  <si>
    <t>Số 70 phố Nam Đồng - Phường Nam Đồng - Quận Đống đa - Hà Nội.</t>
  </si>
  <si>
    <t>CÔNG TY CỔ PHẦN SIMCOM</t>
  </si>
  <si>
    <t>0104125980</t>
  </si>
  <si>
    <t>Số nhà 19 ngách 161 Ngõ Thịnh Quang, Phố Tây Sơn - Phường Thịnh Quang - Quận Đống đa - Hà Nội.</t>
  </si>
  <si>
    <t>Hà Nga 0352939897</t>
  </si>
  <si>
    <t xml:space="preserve"> CÔNG TY CỔ PHẦN AN VINH</t>
  </si>
  <si>
    <t>Chị Ly Thuế Đống Đa</t>
  </si>
  <si>
    <t>106 phố Tôn Đức Thắng - Phường Quốc Tử Giám - Quận Đống đa - Hà Nội.</t>
  </si>
  <si>
    <t>0101422128</t>
  </si>
  <si>
    <t>CÔNG TY TNHH THƯƠNG MẠI DỊCH VỤ DU LỊCH KHÁM PHÁ VĂN HÓA CHÂU Á</t>
  </si>
  <si>
    <t xml:space="preserve"> 0106803670</t>
  </si>
  <si>
    <t xml:space="preserve"> Số 12, Ngõ 178, Phố Tây Sơn - Phường Trung Liệt - Quận Đống đa - Hà Nội.</t>
  </si>
  <si>
    <t>0106172714</t>
  </si>
  <si>
    <t>CÔNG TY CỔ PHẦN CƯỜNG PHÁT THĂNG LONG</t>
  </si>
  <si>
    <t>Số 7 ngõ 16/27 phố Huỳnh Thúc Kháng - Phường Láng Hạ - Quận Đống đa - Hà Nội.</t>
  </si>
  <si>
    <t>CÔNG TY CỔ PHẦN TƯ VẤN VÀ XÂY LẮP ĐIỆN CƯỜNG PHÁT</t>
  </si>
  <si>
    <t>4900225123</t>
  </si>
  <si>
    <t>Số 7, Ngõ 16/27, phố Huỳnh Thúc Kháng - Phường Láng Hạ - Quận Đống đa - Hà Nội.</t>
  </si>
  <si>
    <t>0107456388</t>
  </si>
  <si>
    <t>CÔNG TY TNHH VPH VIỆT NAM</t>
  </si>
  <si>
    <t>Tầng 2, Tòa nhà 106 Tôn Đức Thắng - Phường Quốc Tử Giám - Quận Đống đa - Hà Nội.</t>
  </si>
  <si>
    <t xml:space="preserve"> CÔNG TY TNHH HSD ENGINEERING</t>
  </si>
  <si>
    <t>Phòng 1451K, Tòa nhà Hapro, Số 11B Cát Linh - Phường Quốc Tử Giám - Quận Đống đa - Hà Nội.</t>
  </si>
  <si>
    <t>0107993720</t>
  </si>
  <si>
    <t>CÔNG TY TNHH THƯƠNG MẠI QUẢNG CÁO &amp; IN ẤN MINH QUÂN</t>
  </si>
  <si>
    <t>0106141593</t>
  </si>
  <si>
    <t>Số 28, ngõ 178/45/9, phố Tây Sơn - Phường Trung Liệt - Quận Đống đa - Hà Nội.</t>
  </si>
  <si>
    <t xml:space="preserve"> CÔNG TY TNHH TƯ VẤN BẤT ĐỘNG SẢN MR THANH REA</t>
  </si>
  <si>
    <t>Xóm Cổng Đất (nhà ông Bùi Văn Thanh) - Xã Hoa Động - Huyện Thuỷ Nguyên - Hải Phòng.</t>
  </si>
  <si>
    <t>0201703348</t>
  </si>
  <si>
    <t>Hải phòng</t>
  </si>
  <si>
    <t>CÔNG TY TNHH THƯƠNG MẠI VÀ DỊCH VỤ THỊNH VÂN</t>
  </si>
  <si>
    <t>0107060097</t>
  </si>
  <si>
    <t>Số 5, ngõ 41, phố Đông Tác - Phường Kim Liên - Quận Đống đa - Hà Nội.</t>
  </si>
  <si>
    <t>0105302544</t>
  </si>
  <si>
    <t>CÔNG TY CỔ PHẦN THIẾT BỊ CÔNG NGHIỆP VIỆT TRUNG</t>
  </si>
  <si>
    <t>Số 28 ngõ 178/45/9 Tây Sơn - Phường Trung Liệt - Quận Đống đa - Hà Nội.</t>
  </si>
  <si>
    <t>CÔNG TY TNHH THƯƠNG MẠI SẢN XUẤT VÀ DỊCH VỤ TRUYỀN THÔNG SOKA</t>
  </si>
  <si>
    <t>0107835308</t>
  </si>
  <si>
    <t>Số 14 ngõ 96 đường Đê La Thành - Phường Phương Liên - Quận Đống đa - Hà Nội.</t>
  </si>
  <si>
    <t>CÔNG TY CỔ PHẦN ĐẦU TƯ XÂY DỰNG VÀ THƯƠNG MẠI MINH KIÊN</t>
  </si>
  <si>
    <t>5901131913</t>
  </si>
  <si>
    <t xml:space="preserve">71 Tô Vĩnh Diện, - Phường Hoa Lư - Thành phố Pleiku - Gia Lai.
</t>
  </si>
  <si>
    <t>Gia Lai</t>
  </si>
  <si>
    <t>HỢP TÁC XÃ THƯƠNG MẠI THÁI HÀ</t>
  </si>
  <si>
    <t>159 Đặng Tiến Đông - Phường Trung Liệt - Quận Đống đa - Hà Nội.</t>
  </si>
  <si>
    <t>0100367555</t>
  </si>
  <si>
    <t>CÔNG TY CỔ PHẦN THƯƠNG MẠI VÀ DỊCH VỤ THÀNH PHỐ VÀNG</t>
  </si>
  <si>
    <t>Tầng 3, Số 120, Phố Thái Hà - Phường Trung Liệt - Quận Đống đa - Hà Nội.</t>
  </si>
  <si>
    <t>0107730344</t>
  </si>
  <si>
    <t xml:space="preserve"> 0105982459</t>
  </si>
  <si>
    <t>CÔNG TY CỔ PHẦN ĐẦU TƯ VÀ PHÁT TRIỂN HTP</t>
  </si>
  <si>
    <t>Số 33 ngõ 121 Thái Hà - Phường Trung Liệt - Quận Đống đa - Hà Nội.</t>
  </si>
  <si>
    <t>CÔNG TY CỔ PHẦN ĐẦU TƯ VÀ XÂY DỰNG PHÁT TRIỂN VĂN HÓA VIỆT</t>
  </si>
  <si>
    <t xml:space="preserve"> 0107580963</t>
  </si>
  <si>
    <t xml:space="preserve"> CÔNG TY TNHH HẰNG HIẾU NGA</t>
  </si>
  <si>
    <t>0402047128</t>
  </si>
  <si>
    <t>40 An Thượng 1 - Phường Mỹ An - Quận Ngũ Hành Sơn - Đà Nẵng.</t>
  </si>
  <si>
    <t xml:space="preserve"> CÔNG TY TNHH PAPRIKA</t>
  </si>
  <si>
    <t xml:space="preserve"> 0402046131</t>
  </si>
  <si>
    <t xml:space="preserve"> 170 Phạm Quang ảnh, - Phường An Hải Đông - Quận Sơn Trà - Đà Nẵng.</t>
  </si>
  <si>
    <t>CÔNG TY TNHH DỊCH VỤ VẬN TẢI DIỆU LINH</t>
  </si>
  <si>
    <t>Thôn Khúc Lộng - Xã Vĩnh Khúc - Huyện Văn Giang - Hưng Yên.</t>
  </si>
  <si>
    <t>0900849974</t>
  </si>
  <si>
    <t>Thu tiền hộ</t>
  </si>
  <si>
    <t>CÔNG TY CỔ PHẦN DỊCH VỤ QUẢNG CÁO SAO VIỆT</t>
  </si>
  <si>
    <t>Số 10, ngách 160/3/8, khu tập thể 105 Phan Trọng Tuệ - Thị trấn Văn Điển - Huyện Thanh Trì - Hà Nội.</t>
  </si>
  <si>
    <t xml:space="preserve"> 0106368499</t>
  </si>
  <si>
    <t xml:space="preserve"> CÔNG TY TNHH TM MTV KHOA HỌC TRƯỜNG SƠN</t>
  </si>
  <si>
    <t>Số 165 Đê La Thành - Phường Nam Đồng - Quận Đống đa - Hà Nội.</t>
  </si>
  <si>
    <t xml:space="preserve"> 0107815580</t>
  </si>
  <si>
    <t xml:space="preserve"> CÔNG TY CỔ PHẦN ĐẦU TƯ VÀ PHÁT TRIỂN HT VIỆT NAM</t>
  </si>
  <si>
    <t>0105203737</t>
  </si>
  <si>
    <t>Ki ốt 44, tầng 1, tòa nhà CT10C, khu đô thị Đại Thanh - Xã Tả Thanh Oai - Huyện Thanh Trì - Hà Nội.</t>
  </si>
  <si>
    <t>CÔNG TY CỔ PHẦN BTE</t>
  </si>
  <si>
    <t>Số 25 An Trạch 2 - Phường Quốc Tử Giám - Quận Đống đa - Hà Nội.</t>
  </si>
  <si>
    <t xml:space="preserve"> 0106697937</t>
  </si>
  <si>
    <t>CÔNG TY CỔ PHẦN ĐẦU TƯ PHÁT TRIỂN THƯƠNG MẠI SẢN XUẤT VÀ DỊCH VỤ TIẾN HƯNG</t>
  </si>
  <si>
    <t>0102251764</t>
  </si>
  <si>
    <t>Số nhà 10A ngõ 98 phố Thái Hà, phường Trung Liệt - Phường Trung Liệt - Quận Đống đa - Hà Nội.</t>
  </si>
  <si>
    <t>CÔNG TY TNHH DỊCH VỤ KỸ THUẬT VÀ THƯƠNG MẠI HÀN VIỆT</t>
  </si>
  <si>
    <t>0904143737</t>
  </si>
  <si>
    <t>Số 42 xã đàn 3, phố Nguyễn Lương Bằng, phường Nam Đồng - Phường Nam Đồng - Quận Đống đa - Hà Nội.</t>
  </si>
  <si>
    <t>0101298230</t>
  </si>
  <si>
    <t>CÔNG TY TNHH THƯƠNG MẠI VÀ PHÁT TRIỂN CÔNG NGHỆ VŨ MINH</t>
  </si>
  <si>
    <t>Số 49B/64 Nguyễn Lương Bằng - Phường ô Chợ Dừa - Quận Đống đa - Hà Nội.</t>
  </si>
  <si>
    <t>0105156325</t>
  </si>
  <si>
    <t>Free 50</t>
  </si>
  <si>
    <t>0108025560</t>
  </si>
  <si>
    <t>CÔNG TY CỔ PHẦN ECOBOX VIỆT NAM</t>
  </si>
  <si>
    <t>Số 48 ngõ 102 Đường Trường Chinh - Phường Phương Mai - Quận Đống đa - Hà Nội.</t>
  </si>
  <si>
    <t>CÔNG TY TNHH ALASKAN</t>
  </si>
  <si>
    <t>Tầng 1 và tầng 2, số 77 Tôn Đức Thắng - Phường Quốc Tử Giám - Quận Đống đa - Hà Nội.</t>
  </si>
  <si>
    <t>0106410687</t>
  </si>
  <si>
    <t xml:space="preserve"> CÔNG TY TNHH TUẤN KEVIN</t>
  </si>
  <si>
    <t>0108351349</t>
  </si>
  <si>
    <t xml:space="preserve"> Số 8 ngõ 6 Lương Định Của - Phường Kim Liên - Quận Đống đa - Hà Nội.</t>
  </si>
  <si>
    <t>CÔNG TY CỔ PHẦN THANG MÁY VÀ ĐẦU TƯ HTC</t>
  </si>
  <si>
    <t>Số 8, ngõ 16, phố Thái Hà, tổ 14 - Phường Trung Liệt - Quận Đống đa - Hà Nội.</t>
  </si>
  <si>
    <t xml:space="preserve"> 0101475176</t>
  </si>
  <si>
    <t>098 5427590</t>
  </si>
  <si>
    <t>0101396245</t>
  </si>
  <si>
    <t>CÔNG TY CỔ PHẦN ĐẦU TƯ THIẾT KẾ VÀ XÂY DỰNG HÀ NỘI</t>
  </si>
  <si>
    <t>18/131 phố Thái Hà, phường trung liệt - Phường Trung Liệt - Quận Đống đa - Hà Nội.</t>
  </si>
  <si>
    <t>CÔNG TY TNHH Ô TÔ XE MÁY MAI DŨNG</t>
  </si>
  <si>
    <t>Số 1, ngõ 68, phố Nam Đồng - Phường Nam Đồng - Quận Đống đa - Hà Nội.</t>
  </si>
  <si>
    <t>0107737981</t>
  </si>
  <si>
    <t>CÔNG TY TNHH SẢN XUẤT NỘI THẤT HOÀNG GIA</t>
  </si>
  <si>
    <t>Số 386 Xã Đàn - Phường Nam Đồng - Quận Đống đa - Hà Nội.</t>
  </si>
  <si>
    <t>0107895787</t>
  </si>
  <si>
    <t xml:space="preserve"> CÔNG TY TNHH ĐỒNG VŨ GIA</t>
  </si>
  <si>
    <t>0107944949</t>
  </si>
  <si>
    <t>Số 21b An Trạch - Phường Quốc Tử Giám - Quận Đống đa - Hà Nội.</t>
  </si>
  <si>
    <t>CÔNG TY TNHH XÂY DỰNG VÀ DỊCH VỤ PHÚC KHÁNH</t>
  </si>
  <si>
    <t xml:space="preserve"> 0108214536</t>
  </si>
  <si>
    <t>40 ngõ 241, Phố Chợ Khâm Thiên (Tổ 24) - Phường Phương Liên - Quận Đống đa - Hà Nội.</t>
  </si>
  <si>
    <t>CÔNG TY TNHH ĐÀM GIA BÁCH</t>
  </si>
  <si>
    <t>Sổ 49, ngõ 16 Thái Hà - Phường Trung Liệt - Quận Đống đa - Hà Nội.</t>
  </si>
  <si>
    <t xml:space="preserve"> 0108393395</t>
  </si>
  <si>
    <t>CÔNG TY CỔ PHẦN THIẾT BỊ Y TẾ CTH</t>
  </si>
  <si>
    <t>Số 09 hẻm 178/22/7 phố Tây Sơn - Phường Trung Liệt - Quận Đống đa - Hà Nội.</t>
  </si>
  <si>
    <t>0106129677</t>
  </si>
  <si>
    <t xml:space="preserve"> CÔNG TY TNHH TƯ VẤN VÀ DỊCH VỤ AN HUY</t>
  </si>
  <si>
    <t>CÔNG TY TNHH CÔNG NGHỆ CPS</t>
  </si>
  <si>
    <t>0101670988</t>
  </si>
  <si>
    <t>Số 2, C5, TT Học viện Chính trị Quốc Gia Hồ Chí Minh - Phường Trung Liệt - Quận Đống đa - Hà Nội.</t>
  </si>
  <si>
    <t xml:space="preserve"> 0101670988</t>
  </si>
  <si>
    <t>Nguyệt: 0946 093855</t>
  </si>
  <si>
    <t>phamnguyetcps@gmail.com</t>
  </si>
  <si>
    <t>CÔNG TY CỔ PHẦN KINH DOANH VÀ XÂY DỰNG CÔNG TRÌNH HÀ NỘI</t>
  </si>
  <si>
    <t xml:space="preserve"> 0104564603</t>
  </si>
  <si>
    <t>Tầng 3, số 88 phố Vọng - Phường Phương Mai - Quận Đống đa - Hà Nội.</t>
  </si>
  <si>
    <t>Lienlekt@gmail.com</t>
  </si>
  <si>
    <t>CÔNG TY TNHH THƯƠNG MẠI DỊCH VỤ &amp; SẢN XUẤT BAO BÌ THANH HẰNG</t>
  </si>
  <si>
    <t xml:space="preserve"> 0107716519</t>
  </si>
  <si>
    <t>Số 49 ngõ 1, phố Nghĩa Dũng - Phường Phúc Xá - Quận Ba Đình - Hà Nội.</t>
  </si>
  <si>
    <t>Trinhtram272@gmail.com</t>
  </si>
  <si>
    <t>Chị Chinh 0915405066</t>
  </si>
  <si>
    <t xml:space="preserve"> CÔNG TY TNHH NỘI THẤT HUGO</t>
  </si>
  <si>
    <t>Phòng 106, khu tập thể 37, phố Lý Nam Đế - Phường Hàng Mã - Quận Hoàn Kiếm - Hà Nội.</t>
  </si>
  <si>
    <t>0107484917</t>
  </si>
  <si>
    <t>CÔNG TY TNHH ĐẦU TƯ XÂY DỰNG GHD</t>
  </si>
  <si>
    <t>Số 52 Nam Đồng - Phường Nam Đồng - Quận Đống đa - Hà Nội.</t>
  </si>
  <si>
    <t>0104588097</t>
  </si>
  <si>
    <t>CÔNG TY TNHH DUO - VIỆT NAM</t>
  </si>
  <si>
    <t>Số 1045, đường Giải Phóng - Phường Thịnh Liệt - Quận Hoàng Mai - Hà Nội.</t>
  </si>
  <si>
    <t xml:space="preserve"> 0101290513</t>
  </si>
  <si>
    <t>CÔNG TY CỔ PHẦN MONSTER LAB</t>
  </si>
  <si>
    <t>Số 85 Lương Định Của - Phường Phương Mai - Quận Đống đa - Hà Nội.</t>
  </si>
  <si>
    <t>0107016193</t>
  </si>
  <si>
    <t xml:space="preserve"> CÔNG TY TNHH KINH DOANH THƯƠNG MẠI THANH HẰNG</t>
  </si>
  <si>
    <t>Tổ 2 - Phường Giang Biên - Quận Long Biên - Hà Nội.</t>
  </si>
  <si>
    <t>0107766407</t>
  </si>
  <si>
    <t xml:space="preserve"> CÔNG TY TNHH XÂY DỰNG VÀ DỊCH VỤ BẢO KHÁNH</t>
  </si>
  <si>
    <t>Quan Sãi - Xã Tích Giang - Huyện Phúc Thọ - Hà Nội.</t>
  </si>
  <si>
    <t xml:space="preserve"> 0104755982</t>
  </si>
  <si>
    <t>CÔNG TY CỔ PHẦN ANZEN VIỆT NAM</t>
  </si>
  <si>
    <t>Số 44 Ngõ An Trạch 2 - Phường Quốc Tử Giám - Quận Đống đa - Hà Nội.</t>
  </si>
  <si>
    <t>0106592797</t>
  </si>
  <si>
    <t>CÔNG TY CP ĐẦU TƯ NAKI</t>
  </si>
  <si>
    <t>Số 3/188 phố Kim Hoa - Phường Phương Liên - Quận Đống đa - Hà Nội.</t>
  </si>
  <si>
    <t>0107780592</t>
  </si>
  <si>
    <t xml:space="preserve"> 0105091692</t>
  </si>
  <si>
    <t>CÔNG TY CỔ PHẦN ĐẦU TƯ THƯƠNG MẠI VÀ THIẾT KẾ XÂY DỰNG THĂNG LONG</t>
  </si>
  <si>
    <t>Số 6A ngõ 30 đường Tựu Liệt - Thị trấn Văn Điển - Huyện Thanh Trì - Hà Nội.</t>
  </si>
  <si>
    <t>CÔNG TY TNHH ĐIỆN TỬ SUNVI</t>
  </si>
  <si>
    <t>Số 597 đường Nguyễn Tam Trinh, phường yên Sở - - Quận Hoàng Mai - Hà Nội.</t>
  </si>
  <si>
    <t>0101596702</t>
  </si>
  <si>
    <t>Phúc Thọ</t>
  </si>
  <si>
    <t>CÔNG TY CỔ PHẦN ANH CAO</t>
  </si>
  <si>
    <t>Số nhà 6, ngách 3 ngõ 371 Đê La Thành, phường ô Chợ Dừa - Phường ô Chợ Dừa - Quận Đống đa - Hà Nội.</t>
  </si>
  <si>
    <t>0101686113</t>
  </si>
  <si>
    <t>CÔNG TY TNHH THƯƠNG MẠI VÀ DỊCH VỤ TIỆP MỸ</t>
  </si>
  <si>
    <t>Số 21/23/97 phố Đức Giang - Phường Đức Giang - Quận Long Biên - Hà Nội.</t>
  </si>
  <si>
    <t>0104050414</t>
  </si>
  <si>
    <t>0903482338 Ly</t>
  </si>
  <si>
    <t>congtytiepmy@gmail.com</t>
  </si>
  <si>
    <t>CÔNG TY CỔ PHẦN ĐẦU TƯ TÀI CHÍNH VÀ TƯ VẤN QUỐC TẾ</t>
  </si>
  <si>
    <t>0102318909</t>
  </si>
  <si>
    <t>Số 42 ngách 70 ngõ 102 đường Trường Chinh - Phường Phương Mai - Quận Đống đa - Hà Nội.</t>
  </si>
  <si>
    <t>Free50</t>
  </si>
  <si>
    <t xml:space="preserve"> CÔNG TY TNHH DAIKON &amp; CARROT VIETNAM</t>
  </si>
  <si>
    <t>Số 48 ngõ 102 phố Pháo Đài Láng - Phường Láng Thượng - Quận Đống đa - Hà Nội.</t>
  </si>
  <si>
    <t>Tùng bạn Hùng kế toán</t>
  </si>
  <si>
    <t>Tùng: 0396447955</t>
  </si>
  <si>
    <t>0107981690</t>
  </si>
  <si>
    <t xml:space="preserve"> VĂN PHÒNG LUẬT SƯ CHÍNH PHÁP</t>
  </si>
  <si>
    <t>Số 65B Tôn Đức Thắng - Phường Quốc Tử Giám - Quận Đống đa - Hà Nội.</t>
  </si>
  <si>
    <t>0105916551</t>
  </si>
  <si>
    <t>CÔNG TY CỔ PHẦN THƯƠNG MẠI VÀ DỊCH VỤ VNT VIỆT NAM</t>
  </si>
  <si>
    <t>0106808284</t>
  </si>
  <si>
    <t>Số 514, phố Đội Cấn - Phường Cống Vị - Quận Ba Đình - Hà Nội</t>
  </si>
  <si>
    <t>Chị Vy Linh: 0972880438</t>
  </si>
  <si>
    <t>nguyengiangg8@gmail.com</t>
  </si>
  <si>
    <t xml:space="preserve"> 0106752867</t>
  </si>
  <si>
    <t>Nguyễn Lan 0975774972</t>
  </si>
  <si>
    <t>CÔNG TY TNHH XIANG DA VIỆT NAM</t>
  </si>
  <si>
    <t xml:space="preserve"> 0312471332</t>
  </si>
  <si>
    <t>27/23/22 Kinh Dương Vương - Phường 12 - Quận 6 - TP Hồ Chí Minh.</t>
  </si>
  <si>
    <t>CÔNG TY TNHH HANOPRO (VIỆT NAM)</t>
  </si>
  <si>
    <t>Số 23, phố Vạn Bảo - Phường Liễu Giai - Quận Ba Đình - Hà Nội.</t>
  </si>
  <si>
    <t>0104079237</t>
  </si>
  <si>
    <t>0942986465 Anh Hòa</t>
  </si>
  <si>
    <t>CK khách 570300</t>
  </si>
  <si>
    <t>CÔNG TY CỔ PHẦN CHĂM SÓC SỨC KHỎE MEDITA</t>
  </si>
  <si>
    <t>0106328873</t>
  </si>
  <si>
    <t>Số 376 Phố Xã Đàn - Phường Nam Đồng - Quận Đống đa - Hà Nội.</t>
  </si>
  <si>
    <t>CÔNG TY CỔ PHẦN BẠCH ĐẰNG 7</t>
  </si>
  <si>
    <t>Số 128 đường Trần Huy Liệu - Phường Quán Trữ - Quận Kiến An - Hải Phòng.</t>
  </si>
  <si>
    <t>0200679692</t>
  </si>
  <si>
    <t>0983402352 Chị Hoa</t>
  </si>
  <si>
    <t>CK 507300</t>
  </si>
  <si>
    <t>CÔNG TY CỔ PHẦN XUẤT NHẬP KHẨU COVID-19</t>
  </si>
  <si>
    <t>C2 � TT16, Khu Đô thị Văn Quán � Yên Phúc, - Phường Văn Quán - Quận Hà Đông - Hà Nội.</t>
  </si>
  <si>
    <t>0109213239</t>
  </si>
  <si>
    <t xml:space="preserve"> CÔNG TY CỔ PHẦN BẤT ĐỘNG SẢN THƯƠNG MẠI DỊCH VỤ DU LỊCH VẠN NIÊN</t>
  </si>
  <si>
    <t>Oanh Vạn Niên</t>
  </si>
  <si>
    <t>0700839094</t>
  </si>
  <si>
    <t>Số nhà 52, ngõ 170 đường Trường Chinh - Phường Hai Bà Trưng - Thành phố Phủ Lý - Hà Nam.</t>
  </si>
  <si>
    <t>02463256589</t>
  </si>
  <si>
    <t>Thiếu hồ sơ</t>
  </si>
  <si>
    <t>CÔNG TY TNHH MỘT THÀNH VIÊN TỔ CHỨC SỰ KIỆN MỘT SÁU MỘT</t>
  </si>
  <si>
    <t>Đàm Luyến</t>
  </si>
  <si>
    <t>3603119314</t>
  </si>
  <si>
    <t>Số 161/2, KP4, đường Phạm Văn Thuận, Tam hiệp - Phường Tam Hiệp - Thành phố Biên Hoà - Đồng Nai.</t>
  </si>
  <si>
    <t>VŨ THANH QUANG</t>
  </si>
  <si>
    <t>NGUYỄN THỊ THÚY HẰNG</t>
  </si>
  <si>
    <t>TT Tiền mặt</t>
  </si>
  <si>
    <t>0700518407</t>
  </si>
  <si>
    <t xml:space="preserve"> CÔNG TY TNHH MAY ANH ĐỨC</t>
  </si>
  <si>
    <t>Thôn Tiên Lý - Xã Đồn Xá - Huyện Bình Lục - Hà Nam.</t>
  </si>
  <si>
    <t>0389959839 - Hằng</t>
  </si>
  <si>
    <t>CÔNG TY TNHH Ô TÔ VĂN KHOA</t>
  </si>
  <si>
    <t>134/19A Bis Lý Chính Thắng - Phường 07 - Quận 3 - TP Hồ Chí Minh.</t>
  </si>
  <si>
    <t xml:space="preserve"> 0312571520</t>
  </si>
  <si>
    <t>CÔNG TY TNHH MỘT THÀNH VIÊN THỰC PHẨM TÂY BẮC</t>
  </si>
  <si>
    <t>0986933059 ạ</t>
  </si>
  <si>
    <t>ngocha2886@gmail.com</t>
  </si>
  <si>
    <t>Số 23 D24, Khu D Geleximco, đường Lê Trọng Tấn, - Phường Dương Nội - Quận Hà Đông - Hà Nội.</t>
  </si>
  <si>
    <t>0109235200</t>
  </si>
  <si>
    <t>CÔNG TY TNHH HÀ ĐÔNG</t>
  </si>
  <si>
    <t>0500306571</t>
  </si>
  <si>
    <t>Thôn Phan Long - Xã Tân Hội - Huyện Đan Phượng - Hà Nội.</t>
  </si>
  <si>
    <t>0904668693</t>
  </si>
  <si>
    <t>CK Khách 507300</t>
  </si>
  <si>
    <t>01/07/2020 FT20183028355315\BNK 10321656622015 Cong ty TNHH Ha dong MST 050030657 1 chuyen tien dich vu chung thu so CA2  2,400,000</t>
  </si>
  <si>
    <t>CÔNG TY CỔ PHẦN ĐẦU TƯ THƯƠNG MẠI VÀ XÂY DỰNG MINH DƯƠNG</t>
  </si>
  <si>
    <t>CÔNG TY TNHH DIPANKARA</t>
  </si>
  <si>
    <t>Số 19, phố Trúc Khê - Phường Láng Hạ - Quận Đống đa - Hà Nội.</t>
  </si>
  <si>
    <t xml:space="preserve"> 0106828266</t>
  </si>
  <si>
    <t>CÔNG TY TNHH DỊCH VỤ SỞ HỮU TRÍ TUỆ ALPHA</t>
  </si>
  <si>
    <t>0101211688</t>
  </si>
  <si>
    <t>Số nhà 89 phố Hàng Bông - Phường Hàng Bông - Quận Hoàn Kiếm - Hà Nội.</t>
  </si>
  <si>
    <t>alpha-plus@fpt.vn</t>
  </si>
  <si>
    <t xml:space="preserve"> CÔNG TY TNHH THƯƠNG MẠI DU LỊCH VẬN TẢI MIWAY</t>
  </si>
  <si>
    <t>Số 5 Khuyến Lương - Phường Trần Phú - Quận Hoàng Mai - Hà Nội.</t>
  </si>
  <si>
    <t xml:space="preserve"> 0108137881</t>
  </si>
  <si>
    <t>CÔNG TY CỔ PHẦN CCID - HÀ NỘI</t>
  </si>
  <si>
    <t>Số 8, ngõ 168 phố Hào Nam - Phường ô Chợ Dừa - Quận Đống đa - Hà Nội.</t>
  </si>
  <si>
    <t>0103042361</t>
  </si>
  <si>
    <t>Congtyccidhanoi@gmail.com</t>
  </si>
  <si>
    <t>CÔNG TY TNHH SX TM VIỆT PHONG</t>
  </si>
  <si>
    <t>Số 4, ngõ 24 Đặng Tiến Đông - Phường Trung Liệt - Quận Đống đa - Hà Nội.</t>
  </si>
  <si>
    <t>0106101456</t>
  </si>
  <si>
    <t>0104018058</t>
  </si>
  <si>
    <t>CÔNG TY CỔ PHẦN HCV VIỆT NAM</t>
  </si>
  <si>
    <t>Số 7 - B7 TT Học viện chính trị quốc gia Hồ Chí Minh - Phường Trung Liệt - Quận Đống đa - Hà Nội.</t>
  </si>
  <si>
    <t>0106925502</t>
  </si>
  <si>
    <t>CÔNG TY CỔ PHẦN ĐƯỜNG LỢI NHÂN</t>
  </si>
  <si>
    <t>0108120623</t>
  </si>
  <si>
    <t>Số 51, ngõ 16 đường Hoàng Cầu - Phường ô Chợ Dừa - Quận Đống đa - Hà Nội.</t>
  </si>
  <si>
    <t>Nga.nguyen@goldengate.biz.vn</t>
  </si>
  <si>
    <t>CÔNG TY TNHH DỊCH VỤ SẢN XUẤT VÀ XUẤT NHẬP KHẨU DHF</t>
  </si>
  <si>
    <t>0101590348</t>
  </si>
  <si>
    <t>Số 2A Hàng nón, phường Hàng Gai - - Quận Hoàn Kiếm - Hà Nội.</t>
  </si>
  <si>
    <t>CÔNG TY TNHH ĐÔNG VŨ</t>
  </si>
  <si>
    <t>Số 72, ngách 46/58 phố Hào Nam - Phường ô Chợ Dừa - Quận Đống đa - Hà Nội.</t>
  </si>
  <si>
    <t>0101541414</t>
  </si>
  <si>
    <t>CÔNG TY TNHH THƯƠNG MẠI VÀ DỊCH VỤ TUẤN THƯ</t>
  </si>
  <si>
    <t>số 203 Trường Chinh, P. Khương Mai - Phường Khương Mai - Quận Thanh Xuân - Hà Nội.</t>
  </si>
  <si>
    <t>0103409122</t>
  </si>
  <si>
    <t>0109240151</t>
  </si>
  <si>
    <t>Số nhà 46, ngõ 144/2 Quan Nhân - Phường Nhân Chính - Quận Thanh Xuân - Hà Nội.</t>
  </si>
  <si>
    <t>CÔNG TY TNHH THƯƠNG MẠI VÀ DU LỊCH SEAGULL</t>
  </si>
  <si>
    <t>Tầng 4, tòa nhà VP Meco Complex, ngõ 102 Trường Chinh - Phường Phương Mai - Quận Đống đa - Hà Nội.</t>
  </si>
  <si>
    <t>0107446365</t>
  </si>
  <si>
    <t xml:space="preserve"> CÔNG TY TNHH ĐẦU TƯ VÀ XÂY DỰNG HẢI DƯƠNG</t>
  </si>
  <si>
    <t>Tầng 6, tòa nhà MD Complex, số 68, phố Nguyễn Cơ Thạch - Phường Cầu Diễn - Quận Nam Từ Liêm - Hà Nội.</t>
  </si>
  <si>
    <t>0107986924</t>
  </si>
  <si>
    <t>CÔNG TY CỔ PHẦN ĐẦU TƯ NAZCA VIỆT NAM</t>
  </si>
  <si>
    <t>Tầng 3, số 6 Nam Đồng - Phường Nam Đồng - Quận Đống đa - Hà Nội.</t>
  </si>
  <si>
    <t>0105941798</t>
  </si>
  <si>
    <t xml:space="preserve"> 0107446365</t>
  </si>
  <si>
    <t xml:space="preserve"> 0109240151</t>
  </si>
  <si>
    <t>0107098485</t>
  </si>
  <si>
    <t>CÔNG TY CỔ PHẦN ĐẦU TƯ VÀ XÂY DỰNG NỀN MÓNG JIKON</t>
  </si>
  <si>
    <t>Số 102 Thái Thịnh - Phường Trung Liệt - Quận Đống đa - Hà Nội.</t>
  </si>
  <si>
    <t xml:space="preserve"> CÔNG TY CỔ PHẦN GIẢI PHÁP TRUYỀN THÔNG &amp; QUẢNG CÁO VIỆT</t>
  </si>
  <si>
    <t>Số 141 Đê La Thành - Phường Nam Đồng - Quận Đống đa - Hà Nội.</t>
  </si>
  <si>
    <t>0107086948</t>
  </si>
  <si>
    <t>DOANH NGHIỆP TƯ NHÂN LIÊN HIỆP HIỆP HƯNG</t>
  </si>
  <si>
    <t>Số 52 Đoàn Thị Điểm, phường Quốc Tử Giám - Phường Quốc Tử Giám - Quận Đống đa - Hà Nội.</t>
  </si>
  <si>
    <t xml:space="preserve"> 0102095667</t>
  </si>
  <si>
    <t>CÔNG TY CỔ PHẦN THƯƠNG MẠI VÀ TRUYỀN THÔNG LẠC VIỆT</t>
  </si>
  <si>
    <t>Số 33, Ngõ 121 Thái Hà - Phường Trung Liệt - Quận Đống đa - Hà Nội.</t>
  </si>
  <si>
    <t>CÔNG TY CỔ PHẦN XÂY DỰNG VÀ MÔI TRƯỜNG 3S VIỆT NAM</t>
  </si>
  <si>
    <t>0106651467</t>
  </si>
  <si>
    <t>0107125795</t>
  </si>
  <si>
    <t>Số nhà 2C, ngách 10, ngõ 115, đường Thúy Lĩnh - Phường Lĩnh Nam - Quận Hoàng Mai - Hà Nội.</t>
  </si>
  <si>
    <t xml:space="preserve"> CÔNG TY TNHH DỊCH VỤ BẤT ĐỘNG SẢN SINH ĐIỀN</t>
  </si>
  <si>
    <t>Số 1, ngõ 46 Đặng Văn Ngữ - Phường Phương Liên - Quận Đống đa - Hà Nội.</t>
  </si>
  <si>
    <t>0107046536</t>
  </si>
  <si>
    <t>Kiên 0904663399</t>
  </si>
  <si>
    <t>CÔNG TY TNHH PHÚC MINH HÀ NỘI</t>
  </si>
  <si>
    <t>0106328834</t>
  </si>
  <si>
    <t>Số 16, ngõ 131 Thái Hà - Phường Trung Liệt - Quận Đống đa - Hà Nội.</t>
  </si>
  <si>
    <t>CÔNG TY CỔ PHẦN KIẾN TRÚC NỘI THẤT PWI VIỆT NAM</t>
  </si>
  <si>
    <t>165 Đê La Thành - Phường Nam Đồng - Quận Đống đa - Hà Nội.</t>
  </si>
  <si>
    <t xml:space="preserve"> 0107582939</t>
  </si>
  <si>
    <t xml:space="preserve"> CÔNG TY TNHH DỊCH VỤ VÀ ĐẦU TƯ MINH CHÂU</t>
  </si>
  <si>
    <t>Số 6, Phố An Trạch - Phường Quốc Tử Giám - Quận Đống đa - Hà Nội.</t>
  </si>
  <si>
    <t>0103453530</t>
  </si>
  <si>
    <t xml:space="preserve"> CÔNG TY TNHH THƯƠNG MẠI VÀ XÂY DỰNG PHÚC GIA TRANG</t>
  </si>
  <si>
    <t>Số 134 phố Hoa Bằng - Phường Yên Hoà - Quận Cầu Giấy - Hà Nội.</t>
  </si>
  <si>
    <t>Thôn Tâm Bằng - Xã Mỹ Bằng - Huyện Yên Sơn - Tuyên Quang.</t>
  </si>
  <si>
    <t>CÔNG TY CỔ PHẦN TƯ VẤN ĐẦU TƯ XÂY DỰNG CÔNG TRÌNH 868</t>
  </si>
  <si>
    <t>Số 63, ngõ 148, phố Mai Anh Tuấn - Phường ô Chợ Dừa - Quận Đống đa - Hà Nội.</t>
  </si>
  <si>
    <t xml:space="preserve"> 0108593877</t>
  </si>
  <si>
    <t>CÔNG TY TNHH DỊCH VỤ VÀ THƯƠNG MẠI HOÀNG NGÂN</t>
  </si>
  <si>
    <t>Số 156/169 Đường Hoàng Mai, - Phường Hoàng Văn Thụ - Quận Hoàng Mai - Hà Nội.</t>
  </si>
  <si>
    <t>0109213158</t>
  </si>
  <si>
    <t>Hà: 0986933059</t>
  </si>
  <si>
    <t xml:space="preserve"> 0109235200</t>
  </si>
  <si>
    <t>CÔNG TY CỔ PHẦN DƯỢC PHẨM ZETA</t>
  </si>
  <si>
    <t>Số 46 ngõ 168 Hào Nam - Phường ô Chợ Dừa - Quận Đống đa - Hà Nội.</t>
  </si>
  <si>
    <t xml:space="preserve"> 0104622975</t>
  </si>
  <si>
    <t xml:space="preserve"> 0105941798</t>
  </si>
  <si>
    <t xml:space="preserve"> 0402046452</t>
  </si>
  <si>
    <t>CÔNG TY TNHH MỘT THÀNH VIÊN HIỀN KHANG HÒA</t>
  </si>
  <si>
    <t>K34/1 Đoàn Phú Thứ, - Phường Hoà Khánh Bắc - Quận Liên Chiểu - Đà Nẵng.</t>
  </si>
  <si>
    <t xml:space="preserve"> CÔNG TY CỔ PHẦN KIẾN TRÚC QUỐC TẾ BÌNH MINH</t>
  </si>
  <si>
    <t>Số nhà 3, Ngách 121/51 Tây Mỗ, Tổ Dân Phố Đình 1 - Phường Đại Mỗ - Quận Nam Từ Liêm - Hà Nội.</t>
  </si>
  <si>
    <t xml:space="preserve"> 0108386006</t>
  </si>
  <si>
    <t>0101502278</t>
  </si>
  <si>
    <t>CÔNG TY TNHH VIỄN THÔNG QUANG TRUNG</t>
  </si>
  <si>
    <t>Phòng 404- A5 tập thể Khương Thượng - Phường Trung Tự - Quận Đống đa - Hà Nội.</t>
  </si>
  <si>
    <t>Chị Trinh: 0916472788</t>
  </si>
  <si>
    <t xml:space="preserve"> CÔNG TY TNHH MTV KHỞI AN PHÚ</t>
  </si>
  <si>
    <t>728 Ngô Quyền - Phường An Hải Bắc - Quận Sơn Trà - Đà Nẵng.</t>
  </si>
  <si>
    <t xml:space="preserve"> 0401885977</t>
  </si>
  <si>
    <t>kap.vantai@gmail.com</t>
  </si>
  <si>
    <t>Nhạn 0917836619</t>
  </si>
  <si>
    <t>CÔNG TY TNHH THƯƠNG MẠI VÀ DỊCH VỤ ĐỨC HƯNG</t>
  </si>
  <si>
    <t>Số 33 ngõ 71 tổ 2 đường Hoàng Mai, phường Hoàng Văn Thụ - - Quận Hoàng Mai - Hà Nội.</t>
  </si>
  <si>
    <t xml:space="preserve"> 0101583319</t>
  </si>
  <si>
    <t>SĐT: 0916366367</t>
  </si>
  <si>
    <t>CÔNG TY TNHH THIẾT BỊ CÔNG NGHỆ TRÍ VIỆT</t>
  </si>
  <si>
    <t>Thảo</t>
  </si>
  <si>
    <t>0107741970</t>
  </si>
  <si>
    <t>25 ngách 23, ngõ Thịnh Hào 2 - Phường Hàng Bột - Quận Đống đa - Hà Nội.</t>
  </si>
  <si>
    <t>06/07/2020 FT20188294044238\BNK 10321656622015 Cong ty TNHH thiet bi cong nghe tri viet MST 0107741970  1,175,000</t>
  </si>
  <si>
    <t>Số 39A5, KDC An Bình - Phường An Bình - Thành phố Biên Hoà - Đồng Nai.</t>
  </si>
  <si>
    <t>Ngọc Hải Babala</t>
  </si>
  <si>
    <t>0106505152</t>
  </si>
  <si>
    <t>CÔNG TY TNHH BUFATEK VIỆT NAM</t>
  </si>
  <si>
    <t>Xóm Đô Lương - Xã Nghĩa Hồng - Huyện Nghĩa Hưng - Nam Định.</t>
  </si>
  <si>
    <t>Trang Xây dựng Bưu điện: 0914491679</t>
  </si>
  <si>
    <t>Doantrang.2203@gmail.com</t>
  </si>
  <si>
    <t>0106723707</t>
  </si>
  <si>
    <t>CÔNG TY TNHH KIẾN TRÚC KYWY VIỆT NAM</t>
  </si>
  <si>
    <t>Số nhà 11, liền kề 07, khu đô thị Xa La - Phường Phúc La - Quận Hà Đông - Hà Nội.</t>
  </si>
  <si>
    <t>0107335538</t>
  </si>
  <si>
    <t xml:space="preserve"> CÔNG TY TNHH THƯƠNG MẠI TỔNG HỢP VÀ DỊCH VỤ TƯƠNG LAI MỚI</t>
  </si>
  <si>
    <t>Số 2, ngách 9, ngõ 178, phố Tây Sơn - Phường Trung Liệt - Quận Đống đa - Hà Nội.</t>
  </si>
  <si>
    <t>CÔNG TY TNHH IN NHÃN MÁC BÌNH MINH</t>
  </si>
  <si>
    <t>0101893712</t>
  </si>
  <si>
    <t>Số 79 phố Nguyễn Phúc Lai - Phường ô Chợ Dừa - Quận Đống đa - Hà Nội.</t>
  </si>
  <si>
    <t>inbinhminh1@gmail.com</t>
  </si>
  <si>
    <t xml:space="preserve"> CÔNG TY TNHH CITYMANIA VIỆT NAM</t>
  </si>
  <si>
    <t>0107559827</t>
  </si>
  <si>
    <t>Số 3 Ngõ 6 Đặng Văn Ngữ - Phường Phương Liên - Quận Đống đa - Hà Nội.</t>
  </si>
  <si>
    <t>098 9357783 Kế toán</t>
  </si>
  <si>
    <t>CÔNG TY CỔ PHẦN PV THĂNG LONG</t>
  </si>
  <si>
    <t xml:space="preserve"> 0107578890</t>
  </si>
  <si>
    <t>số 184 Phố Tây Sơn - Phường Trung Liệt - Quận Đống đa - Hà Nội.</t>
  </si>
  <si>
    <t>CÔNG TY CỔ PHẦN TRUYỀN THÔNG 789 VIỆT NAM</t>
  </si>
  <si>
    <t>Tầng 4, số 21, ngách 46/41 Phạm Ngọc Thạch - Phường Phương Liên - Quận Đống đa - Hà Nội.</t>
  </si>
  <si>
    <t xml:space="preserve"> 0107783762</t>
  </si>
  <si>
    <t>Châu: 0985126499,</t>
  </si>
  <si>
    <t>CÔNG TY TNHH ĐẦU TƯ THƯƠNG MẠI VÀ DỊCH VỤ VẠN THIÊN PHÚ</t>
  </si>
  <si>
    <t xml:space="preserve"> 0107710588</t>
  </si>
  <si>
    <t>Số 84 Tôn Đức Thắng - Phường Quốc Tử Giám - Quận Đống đa - Hà Nội.</t>
  </si>
  <si>
    <t>CÔNG TY TNHH SẢN XUẤT, THƯƠNG MẠI VÀ DỊCH VỤ TRÍ ĐỨC</t>
  </si>
  <si>
    <t>0106511942</t>
  </si>
  <si>
    <t>Số 3, ngõ 117 đường Thái Hà - Phường Trung Liệt - Quận Đống đa - Hà Nội.</t>
  </si>
  <si>
    <t>CÔNG TY CỔ PHẦN XUẤT NHẬP KHẨU THIẾT BỊ CÔNG NGHIỆP VIỆT NAM</t>
  </si>
  <si>
    <t>Số 12A, ngách 74/13, ngõ Thịnh Hào 1, Phố Tôn Đức Thắng - Phường Hàng Bột - Quận Đống đa - Hà Nội.</t>
  </si>
  <si>
    <t>Sdt ktoan 0983791311</t>
  </si>
  <si>
    <t>0102555272</t>
  </si>
  <si>
    <t>CÔNG TY CỔ PHẦN THƯƠNG MẠI DỊCH VỤ TỔNG HỢP MB HOÀNG AN</t>
  </si>
  <si>
    <t>Số 26A, Tổ dân phố số 2, Tập thể xây lắp điện I - Phường Xuân Phương - Quận Nam Từ Liêm - Hà Nội.</t>
  </si>
  <si>
    <t>0108448911</t>
  </si>
  <si>
    <t>hoangphi2838@gmail.com</t>
  </si>
  <si>
    <t>0941070439</t>
  </si>
  <si>
    <t>CÔNG TY CỔ PHẦN XÂY DỰNG VÀ VỆ SINH HOÀ MỸ</t>
  </si>
  <si>
    <t>0104289121</t>
  </si>
  <si>
    <t>Số 6, nhà C, TT trường trung học nông nghiệp - Phường Trung Văn - Quận Nam Từ Liêm - Hà Nội.</t>
  </si>
  <si>
    <t>Anh Hanh: 0962639779
Diệp 0966621112</t>
  </si>
  <si>
    <t>vesinhhoamy@gmail.com</t>
  </si>
  <si>
    <t xml:space="preserve"> CÔNG TY TNHH THƯƠNG MẠI VÀ DỊCH VỤ REMIZIO</t>
  </si>
  <si>
    <t>Số 3 phố Tôn Đức Thắng - Phường Quốc Tử Giám - Quận Đống đa - Hà Nội.</t>
  </si>
  <si>
    <t>0107302532</t>
  </si>
  <si>
    <t>CÔNG TY CỔ PHẦN XÂY DỰNG NỘI THẤT HOÀNG SƠN HÀ NỘI</t>
  </si>
  <si>
    <t>Số nhà 10, ngách 47 ngõ Thịnh Hào 2, Phố Tôn Đức Thắng - Phường Hàng Bột - Quận Đống đa - Hà Nội.</t>
  </si>
  <si>
    <t>0104881088</t>
  </si>
  <si>
    <t>CÔNG TY CỔ PHẦN XÂY LẮP HOÀNG SƠN</t>
  </si>
  <si>
    <t>Số 2, ngõ 86, đường Tân Nhuệ 2 - Phường Thụy Phương - Quận Bắc Từ Liêm - Hà Nội.</t>
  </si>
  <si>
    <t>0107341147</t>
  </si>
  <si>
    <t>CÔNG TY TNHH THIẾT KẾ VÀ XÂY DỰNG HD HOUSE</t>
  </si>
  <si>
    <t>0108949467</t>
  </si>
  <si>
    <t>Số 69, Khu Cầu Đơ 3 - Phường Hà Cầu - Quận Hà Đông - Hà Nội.</t>
  </si>
  <si>
    <t>0102603751</t>
  </si>
  <si>
    <t>DNTN MAY HỒNG HẠNH</t>
  </si>
  <si>
    <t>218 Tôn Đức Thắng, phường Hàng Bột - Phường Hàng Bột - Quận Đống đa - Hà Nội.</t>
  </si>
  <si>
    <t>0102362739</t>
  </si>
  <si>
    <t>CÔNG TY TNHH KIẾN TRÚC ARCHIKA</t>
  </si>
  <si>
    <t>Phòng 109 nhà A6 TT Khương Thượng, phường Trung Tự - Phường Trung Tự - Quận Đống đa - Hà Nội.</t>
  </si>
  <si>
    <t>CÔNG TY CỔ PHẦN MBID</t>
  </si>
  <si>
    <t>0103189815</t>
  </si>
  <si>
    <t>Số 6 ngõ 69 đường Đặng Văn Ngữ - Phường Trung Tự - Quận Đống đa - Hà Nội.</t>
  </si>
  <si>
    <t>Công Ty TNHH Một Thành Viên Dương Hải Châu</t>
  </si>
  <si>
    <t>3603170504</t>
  </si>
  <si>
    <t>Số 58B, tổ 33, KP 3 - Phường Trảng Dài - Thành phố Biên Hoà - Đồng Nai.</t>
  </si>
  <si>
    <t>CÔNG TY CỔ PHẦN XNK THƯƠNG MẠI HOÀNG ANH</t>
  </si>
  <si>
    <t>TT Nacecomm</t>
  </si>
  <si>
    <t>24/06/2020 FT20176634837160\BNK 10321656622015 cong ty Thanh Hang Va Bao Khanh gui tien phan mem hoa don dien tu</t>
  </si>
  <si>
    <t>03/07/2020 FT20185A06001737\XNV 10321656622015 (B/O CT TNHH DV SO HUU TRI TUE ALPHA) TC:002014.TRA TIEN KY KET HOP DONG SO 0101211688/CA2-eINVOICE CUNG CAP PHAN MEM HOA DON DIEN TU CA2-EINVOICE  800,000</t>
  </si>
  <si>
    <t>02/07/2020 FT20184A01002718\XNV 10321656622015 (B/O HANOI-CCID.,JSC) TT HD CUNG CAP PHAN MEM HOA DONDIEN TU CT NACENCOMM  800,000</t>
  </si>
  <si>
    <t>TT Chúc đã trừ ck 25%</t>
  </si>
  <si>
    <t>Ngoan- 0936846181
Hòa: 0378663688</t>
  </si>
  <si>
    <t>CÔNG TY CỔ PHẦN PHÁT TRIỂN XUẤT NHẬP KHẨU QUỐC TẾ</t>
  </si>
  <si>
    <t>0105606574</t>
  </si>
  <si>
    <t>Số 330 Đội Cấn - Phường Cống Vị - Quận Ba Đình - Hà Nội.</t>
  </si>
  <si>
    <t>Sđt 0989231109</t>
  </si>
  <si>
    <t>Mail của e ac1@iltvn.com</t>
  </si>
  <si>
    <t>Lô 52-53 đường số 4, 152D, 152E, KCX và CN Linh Trung III - Phường An Tịnh - Thị xã Trảng Bàng - Tây Ninh.</t>
  </si>
  <si>
    <t xml:space="preserve"> CÔNG TY CỔ PHẦN SẢN XUẤT PHÚ LỰC (VN)</t>
  </si>
  <si>
    <t>3901162788</t>
  </si>
  <si>
    <t>camtien2508@gmail.com</t>
  </si>
  <si>
    <t>CÔNG TY CỔ PHẦN TẬP ĐOÀN HẢI ÂU</t>
  </si>
  <si>
    <t>72 Miếu Đầm - Phường Mễ Trì - Quận Nam Từ Liêm - Hà Nội.</t>
  </si>
  <si>
    <t>0105294967</t>
  </si>
  <si>
    <t>0985108142 Chị Thơm</t>
  </si>
  <si>
    <t>ketoan1@haiau.com</t>
  </si>
  <si>
    <t>CÔNG TY CỔ PHẦN SẢN XUẤT MÁY BIẾN ÁP ABA HÀ NỘI</t>
  </si>
  <si>
    <t>Số 10, ngõ 512, đường Ngọc Hồi - Xã Vĩnh Quỳnh - Huyện Thanh Trì - Hà Nội.</t>
  </si>
  <si>
    <t xml:space="preserve"> 0106201475</t>
  </si>
  <si>
    <t>Hương 0979070105
Le Lâm</t>
  </si>
  <si>
    <t>cophanaba@gmail.com</t>
  </si>
  <si>
    <t>CÔNG TY TNHH HỮU TRỌNG - BG</t>
  </si>
  <si>
    <t>Thành Nacencomm</t>
  </si>
  <si>
    <t>4900860950</t>
  </si>
  <si>
    <t>Xóm Chùa - Xã Yên Thịnh - Huyện Hữu Lũng - Lạng Sơn.</t>
  </si>
  <si>
    <t>CÔNG TY TNHH THƯƠNG MẠI VÀ PHÁT TRIỂN NHÀ LỘC VIỆT</t>
  </si>
  <si>
    <t xml:space="preserve"> 0109245745</t>
  </si>
  <si>
    <t>Số 46, ngõ 416, đường Lạc Long Quân - Phường Nhật Tân - Quận Tây Hồ - Hà Nội.</t>
  </si>
  <si>
    <t>Tuyết Đông Nam</t>
  </si>
  <si>
    <t>Tuyết Đông Nam: 0946358386</t>
  </si>
  <si>
    <t>CÔNG TY TNHH THƯƠNG MẠI VÀ CUNG ỨNG VẬT TƯ SAO VÀNG</t>
  </si>
  <si>
    <t>0109242790</t>
  </si>
  <si>
    <t>Số nhà 55, ngõ 90, phố Hoa Bằng, tổ 11 - Phường Yên Hoà - Quận Cầu Giấy - Hà Nội.</t>
  </si>
  <si>
    <t>TT Chúc 2tr</t>
  </si>
  <si>
    <t>CÔNG TY TNHH THƯƠNG MẠI VÀ PHÁT TRIỂN DỊCH VỤ TRỰC TUYẾN HRS</t>
  </si>
  <si>
    <t xml:space="preserve"> 0109256828</t>
  </si>
  <si>
    <t>0401518303</t>
  </si>
  <si>
    <t xml:space="preserve"> CÔNG TY TNHH THƯƠNG MẠI SQH</t>
  </si>
  <si>
    <t xml:space="preserve"> K04/15 Đường 2 /9 - Phường Bình Hiên - Quận Hải Châu - Đà Nẵng.</t>
  </si>
  <si>
    <t>Số 3, phố Hàng Đậu - Phường Đồng Xuân - Quận Hoàn Kiếm - Hà Nội.</t>
  </si>
  <si>
    <t xml:space="preserve"> CÔNG TY TNHH KHOA HỌC CÔNG NGHỆ VÀ TRUYỀN THÔNG SUNRISE VIỆT NAM</t>
  </si>
  <si>
    <t>số 10 ngách 5/2 Hoàng Tích Trí - Phường Kim Liên - Quận Đống đa - Hà Nội.</t>
  </si>
  <si>
    <t xml:space="preserve"> 0104228249</t>
  </si>
  <si>
    <t>CÔNG TY CỔ PHẦN ỨNG DỤNG CÔNG NGHỆ MỚI AN BÌNH</t>
  </si>
  <si>
    <t>Số 195, phố Đặng Tiến Đông - Phường Trung Liệt - Quận Đống đa - Hà Nội.</t>
  </si>
  <si>
    <t>0102931079</t>
  </si>
  <si>
    <t>CÔNG TY TNHH SERENDI VIỆT NAM</t>
  </si>
  <si>
    <t>Số 125, Ngõ Chợ Khâm Thiên - Phường Trung Phụng - Quận Đống đa - Hà Nội.</t>
  </si>
  <si>
    <t>0108822100</t>
  </si>
  <si>
    <t>Thanh Hoa SERENDI
anh Thành: 0912402209</t>
  </si>
  <si>
    <t>CÔNG TY TNHH VÉ MÁY BAY TRỰC TUYẾN BÔNG SEN VÀNG</t>
  </si>
  <si>
    <t>0107526010</t>
  </si>
  <si>
    <t>Số nhà 12, ngõ 46A, phố Phạm Ngọc Thạch - Phường Phương Liên - Quận Đống đa - Hà Nội.</t>
  </si>
  <si>
    <t>CÔNG TY TNHH THIẾT KẾ XÂY DỰNG VÀ VẬN TẢI HÒA BÌNH</t>
  </si>
  <si>
    <t>Tầng 7, tòa nhà Sannam, số 78 phố Duy Tân, - Phường Dịch Vọng Hậu - Quận Cầu Giấy - Hà Nội.</t>
  </si>
  <si>
    <t>0109257846</t>
  </si>
  <si>
    <t xml:space="preserve"> CÔNG TY TNHH ĐẦU TƯ VÀ PHÁT TRIỂN LỢI NGUYÊN</t>
  </si>
  <si>
    <t>Số 2, Ngõ 131 Thái Hà - Phường Trung Liệt - Quận Đống đa - Hà Nội.</t>
  </si>
  <si>
    <t>0109251971</t>
  </si>
  <si>
    <t>CÔNG TY TNHH ĐÀO TẠO, TƯ VẤN VÀ PHÁT TRIỂN BEST</t>
  </si>
  <si>
    <t>0105201948</t>
  </si>
  <si>
    <t>P405, tầng 4, tòa nhà số 88, phố Phạm Ngọc Thạch - Phường Trung Tự - Quận Đống đa - Hà Nội.</t>
  </si>
  <si>
    <t>Chị Tiên KT 0976757587  - 0663899900</t>
  </si>
  <si>
    <t>CÔNG TY TNHH THƯƠNG MẠI VÀ VẬN TẢI TNT VIỆT NAM</t>
  </si>
  <si>
    <t>CÔNG TY CỔ PHẦN ĐẦU TƯ XÂY DỰNG HDC VIỆT NAM</t>
  </si>
  <si>
    <t>CÔNG TY TNHH THƢƠNG MẠI VÀ DỊCH VỤ LONG TUẤN</t>
  </si>
  <si>
    <t>CÔNG TY TNHH THƯƠNG MẠI DU LỊCH QUỐC TẾ HOÀNG MINH</t>
  </si>
  <si>
    <t>CÔNG TY TNHH LÂM DŨNG PHÁT</t>
  </si>
  <si>
    <t xml:space="preserve"> CÔNG TY CỔ PHẦN THƯƠNG MẠI TUNO VIỆT NAM</t>
  </si>
  <si>
    <t>CÔNG TY CỔ PHẦN PHÁT TRIỂN GIÁO DỤC VÀ THƯƠNG MẠI VIỆT NHẬT</t>
  </si>
  <si>
    <t>CÔNG TY CỔ PHẦN MOCCA ARCHITECTS</t>
  </si>
  <si>
    <t>CÔNG TY TNHH HẢI ĐĂNG WINDOW VIỆT</t>
  </si>
  <si>
    <t>CÔNG TY TNHH KIM KHÍ XINH TÀI</t>
  </si>
  <si>
    <t>0108205806</t>
  </si>
  <si>
    <t>0106292761</t>
  </si>
  <si>
    <t>0106738284</t>
  </si>
  <si>
    <t>0106810124</t>
  </si>
  <si>
    <t>0108266326</t>
  </si>
  <si>
    <t>0106191837</t>
  </si>
  <si>
    <t>0105937022</t>
  </si>
  <si>
    <t>0107354442</t>
  </si>
  <si>
    <t>0107354481</t>
  </si>
  <si>
    <t>0106741368</t>
  </si>
  <si>
    <t>CA2-eIFree50</t>
  </si>
  <si>
    <t>eINVOICE1-eI300</t>
  </si>
  <si>
    <t>CÔNG TY CỔ PHẦN BẤT ĐỘNG SẢN THƯƠNG MẠI DỊCH VỤ DU LỊCH VẠN NIÊN</t>
  </si>
  <si>
    <t>CÔNG TY TNHH KỸ THUẬT VÀ DỊCH VỤ DNA</t>
  </si>
  <si>
    <t>CÔNG TY CỔ PHẦN CTQ INVEST</t>
  </si>
  <si>
    <t>CÔNG TY CỔ PHẦN THƯƠNG MẠI IN VÀ QUẢNG CÁO TRIỆU TUẤN</t>
  </si>
  <si>
    <t>CÔNG TY CỔ PHẦN TIẾP VẬN SRV</t>
  </si>
  <si>
    <t>CÔNG TY TNHH THƯƠNG MẠI VÀ DỊCH VỤ AN THÀNH HƯNG</t>
  </si>
  <si>
    <t>CÔNG TY CỔ PHẦN ĐẦU TƯ MNET</t>
  </si>
  <si>
    <t>CÔNG TY TNHH THƢƠNG MẠI DỊCH VỤ HOÀNG NGÂN HÀ</t>
  </si>
  <si>
    <t>CÔNG TY TNHH GIA NHÂN</t>
  </si>
  <si>
    <t>CÔNG TY CỔ PHẦN HỢP TÁC GIÁO DỤC QUỐC TẾ MINH NGUYÊN</t>
  </si>
  <si>
    <t>CÔNG TY TNHH KINH DOANH THƯƠNG MẠI SƠN CƯỜNG</t>
  </si>
  <si>
    <t>CÔNG TY TNHH ĐIỆN TỬ ZETA VIỆT NAM</t>
  </si>
  <si>
    <t>CÔNG TY TNHH VIỆT IN</t>
  </si>
  <si>
    <t>eINVOICE2-eI500</t>
  </si>
  <si>
    <t>eINVOICE3-eI1.000</t>
  </si>
  <si>
    <t>0107721438</t>
  </si>
  <si>
    <t>0107295740</t>
  </si>
  <si>
    <t>0102362778</t>
  </si>
  <si>
    <t>0109256828</t>
  </si>
  <si>
    <t>0107867500</t>
  </si>
  <si>
    <t>0103682361</t>
  </si>
  <si>
    <t>0105983759</t>
  </si>
  <si>
    <t>0105486838</t>
  </si>
  <si>
    <t>0102708514</t>
  </si>
  <si>
    <t>0103047063</t>
  </si>
  <si>
    <t>0106628041</t>
  </si>
  <si>
    <t>0104405113</t>
  </si>
  <si>
    <t>CÔNG TY CỔ PHẦN THƯƠNG MẠI VÀ DỊCH VỤ BẮC ĐÔ THÀNH</t>
  </si>
  <si>
    <t>CÔNG TY TNHH THIẾT BỊ CÔNG NGHỆ TÀI NGUYÊN MÔI TRƯỜNG VIỆT NAM</t>
  </si>
  <si>
    <t>CÔNG TY TNHH TƯ VẤN THIẾT KẾ VÀ ĐẦU TƯ XÂY DỰNG</t>
  </si>
  <si>
    <t>CÔNG TY TNHH THƯƠNG MẠI DỊCH VỤ Ô TÔ VIỆT HẢI</t>
  </si>
  <si>
    <t>CÔNG TY TNHH SẢN XUẤT, THƯƠNG MẠI VÀ DỊCH VỤ NTD</t>
  </si>
  <si>
    <t>CÔNG TY TNHH MỘT THÀNH VIÊN HẢI TÚ</t>
  </si>
  <si>
    <t>CÔNG TY CỔ PHẦN QUÀ VÀNG HÀ NỘI</t>
  </si>
  <si>
    <t>CÔNG TY TNHH NGHĨA HẢI</t>
  </si>
  <si>
    <t>0101929599</t>
  </si>
  <si>
    <t>0101511360</t>
  </si>
  <si>
    <t>0104558247</t>
  </si>
  <si>
    <t>0107444181</t>
  </si>
  <si>
    <t>0101104132</t>
  </si>
  <si>
    <t>eINVOICE4-eI2.000</t>
  </si>
  <si>
    <t>CÔNG TY TNHH THẨM MỸ VIỆN QUỐC TẾ MAYA</t>
  </si>
  <si>
    <t xml:space="preserve"> CÔNG TY CỔ PHẦN TƯ VẤN VÀ CHUYỂN GIAO CÔNG NGHỆ HÀ NỘI</t>
  </si>
  <si>
    <t>CÔNG TY CỔ PHẦN CÔNG NGHỆ B.P.O</t>
  </si>
  <si>
    <t>CÔNG TY CỔ PHẦN ICD VIỆT NAM</t>
  </si>
  <si>
    <t>CÔNG TY TNHH THƯƠNG MẠI TỔNG HỢP V20 HÀ NỘI</t>
  </si>
  <si>
    <t>CÔNG TY CP CÔNG NGHỆ VIỄN THÔNG VÀ BẢO MẬT CYBERTELNET</t>
  </si>
  <si>
    <t>CÔNG TY CỔ PHẦN HÀ CEO</t>
  </si>
  <si>
    <t>CÔNG TY TNHH HTAG VIỆT NAM</t>
  </si>
  <si>
    <t xml:space="preserve"> CÔNG TY TNHH THƯƠNG MẠI VÀ DỊCH VỤ ĐIỆN TỬ TRUYỀN THÔNG NGUYỄN PHI</t>
  </si>
  <si>
    <t>DOANH NGHIỆP TƯ NHÂN HIỂN VINH</t>
  </si>
  <si>
    <t>CÔNG TY CỔ PHẦN ĐẦU TƯ PHÁT TRIỂN FIR</t>
  </si>
  <si>
    <t>0108692412</t>
  </si>
  <si>
    <t>0103825299</t>
  </si>
  <si>
    <t>0105267924</t>
  </si>
  <si>
    <t>0107859806</t>
  </si>
  <si>
    <t>0106847910</t>
  </si>
  <si>
    <t>0107479177</t>
  </si>
  <si>
    <t>0106681905</t>
  </si>
  <si>
    <t>0108770501</t>
  </si>
  <si>
    <t>0106287225</t>
  </si>
  <si>
    <t>0101332890</t>
  </si>
  <si>
    <t>0107575096</t>
  </si>
  <si>
    <t>0109084985</t>
  </si>
  <si>
    <t>CÔNG TY TNHH THƢƠNG MẠI VÀ DỊCH VỤ AN GIA</t>
  </si>
  <si>
    <t>CÔNG TY CỔ PHẦN GIỐNG LÂM NGHIỆP VIỆT NAM</t>
  </si>
  <si>
    <t>CÔNG TY TNHH THƯƠNG MẠI VÀ DỊCH VỤ THÀNH MỸ</t>
  </si>
  <si>
    <t>CÔNG TY TNHH GIAO NHẬN VẬN TẢI QUỐC TẾ PHƯƠNG NAM</t>
  </si>
  <si>
    <t xml:space="preserve"> CHI NHÁNH CÔNG TY TNHH MỘT THÀNH VIÊN TM DV DU LỊCH O.ME.GA TẠI HÀ NỘI</t>
  </si>
  <si>
    <t>CÔNG TY TNHH TƯ VẤN ĐẦU TƯ THƯƠNG MẠI VÀ DỊCH VỤ KNB</t>
  </si>
  <si>
    <t>CÔNG TY CỔ PHẦN THƯƠNG MẠI VÀ SẢN XUẤT TÂN DUY ĐẠT</t>
  </si>
  <si>
    <t>CÔNG TY CỔ PHẦN ĐẦU TƯ, XÂY DỰNG, THƯƠNG MẠI QUỐC TẾ AN HƯNG</t>
  </si>
  <si>
    <t>CÔNG TY TNHH THƯƠNG MẠI VÀ QUẢNG CÁO STELLA</t>
  </si>
  <si>
    <t>DNTN QUẢNG CÁO &amp; THƯƠNG MẠI VIỆT KHÁNH</t>
  </si>
  <si>
    <t>CÔNG TY TNHH KHOA HỌC CÔNG NGHỆ VÀ TRUYỀN THÔNG SUNRISE VIỆT NAM</t>
  </si>
  <si>
    <t>CÔNG TY CỔ PHẦN DỊCH VỤ CÔNG NGHỆ QUẢN LÝ FAB</t>
  </si>
  <si>
    <t>0102707630</t>
  </si>
  <si>
    <t>0101491555</t>
  </si>
  <si>
    <t>0105028387</t>
  </si>
  <si>
    <t>0401227079-003</t>
  </si>
  <si>
    <t>0106233149</t>
  </si>
  <si>
    <t>0104536324</t>
  </si>
  <si>
    <t>0101100018</t>
  </si>
  <si>
    <t>0107800168</t>
  </si>
  <si>
    <t>0104228249</t>
  </si>
  <si>
    <t>0104415383</t>
  </si>
  <si>
    <t>CÔNG TY TNHH THƢƠNG MẠI VẬN TẢI DU LỊCH ANH PHÁT</t>
  </si>
  <si>
    <t>CÔNG TY CỔ PHẦN VSBCO VIỆT NAM</t>
  </si>
  <si>
    <t>CÔNG TY CỔ PHẦN SƠN DURMEX VIỆT NAM</t>
  </si>
  <si>
    <t>0107932284</t>
  </si>
  <si>
    <t>0106585133</t>
  </si>
  <si>
    <t>0106786626</t>
  </si>
  <si>
    <t>DOANH NGHIỆP TƯ NHÂN PHƯƠNG DANH</t>
  </si>
  <si>
    <t>CÔNG TY TNHH KINH DOANH THƯƠNG MẠI DỊCH VỤ HÒA BÌNH</t>
  </si>
  <si>
    <t>CÔNG TY TNHH XÂY DỰNG VÀ THƯƠNG MẠI KIM LONG</t>
  </si>
  <si>
    <t xml:space="preserve"> CÔNG TY CỔ PHẦN TƯ VẤN THIẾT KẾ TAS VIỆT NAM</t>
  </si>
  <si>
    <t>CÔNG TY TNHH MTV ĐÀO TẠO NHÂN LỰC THANG MÁY CÔNG ĐOÀN HÀ NỘI</t>
  </si>
  <si>
    <t>CÔNG TY CỔ PHẦN ĐẦU TƯ PHÁT TRIỂN THÀNH ĐÔNG</t>
  </si>
  <si>
    <t>CÔNG TY TNHH TUẤN TOÀN</t>
  </si>
  <si>
    <t>0101617920</t>
  </si>
  <si>
    <t>0107685902</t>
  </si>
  <si>
    <t>0102698760</t>
  </si>
  <si>
    <t>0107368290</t>
  </si>
  <si>
    <t>0108186053</t>
  </si>
  <si>
    <t>0105275386</t>
  </si>
  <si>
    <t>0104118870</t>
  </si>
  <si>
    <t>Đã TT Nacencomm - Trang đưa Chúc</t>
  </si>
  <si>
    <t>Chị Lan Anh đã TT Nacencomm</t>
  </si>
  <si>
    <t>Trang HTC 0913921822</t>
  </si>
  <si>
    <t>Chị Sang: 097 5902889
Ngọc Linh:</t>
  </si>
  <si>
    <t>Chị Luân: 0988204583</t>
  </si>
  <si>
    <t>Phamlansang@gmail.com</t>
  </si>
  <si>
    <t>tranghtc8948@gmail.com</t>
  </si>
  <si>
    <t>Phương Trần 0366030886</t>
  </si>
  <si>
    <t>phuongtrantravel@gmail.com</t>
  </si>
  <si>
    <t>Số 37 Phố Hồ Giám - Phường Quốc Tử Giám - Quận Đống đa - Hà Nội - Việt Nam.</t>
  </si>
  <si>
    <t>090 3497282</t>
  </si>
  <si>
    <t>nbzun82@gmail.com</t>
  </si>
  <si>
    <t>0912750172</t>
  </si>
  <si>
    <t>Bạn chú khánh</t>
  </si>
  <si>
    <t xml:space="preserve">Chú Hải 0983366587 </t>
  </si>
  <si>
    <t>chikinhbac@gmail.com</t>
  </si>
  <si>
    <t>0976180931</t>
  </si>
  <si>
    <t>15/07/2020 FT20197A01020939\XNV 10321656622015 (B/O CONG TY TNHH MAY ANH DUC) CTY TNHH MAY ANH DUC - 0700518407 - CHUYEN TIEN DV CHUNG THU SO CA2  3,110,800</t>
  </si>
  <si>
    <t>22/06/2020 FT20174353467297\BNK 10321656622015 CTY HANOPRO VIETNAM 0104079237 CHUY EN TIEN DICH VU CHUNG THU SO CA2  2,407,300</t>
  </si>
  <si>
    <t>17/06/2020 FT20169958328462\BNK 10321656622015 Ck  800,000</t>
  </si>
  <si>
    <t>08/07/2020 FT20190271490472\BNK 10321656622015 Cong ty tay Bac MST 0109235200  2,785,000</t>
  </si>
  <si>
    <t>CK Chúc 480K</t>
  </si>
  <si>
    <t>CK 800k vào tk Nacencomm</t>
  </si>
  <si>
    <t>Chuyển phát thu tiền mặt nộp cho Chúc</t>
  </si>
  <si>
    <t>A Trường Nam Từ Liêm</t>
  </si>
  <si>
    <t>Nhà L1-1, tổ 13 - Phường Cầu Diễn - Quận Nam Từ Liêm - Hà Nội.</t>
  </si>
  <si>
    <t>098.448.1156</t>
  </si>
  <si>
    <t>ketoanthue.ptm@gmail.com</t>
  </si>
  <si>
    <t>Oanh Vạn Niên: 0973487651</t>
  </si>
  <si>
    <t>Nguyenoanh90ht@gmail.com</t>
  </si>
  <si>
    <t>Tổ 7, cụm 1, phường Trung Hoà - - Quận Cầu Giấy - Hà Nội.</t>
  </si>
  <si>
    <t>Hằng 0392955021</t>
  </si>
  <si>
    <t>truongthuhang21593@gmail.com</t>
  </si>
  <si>
    <t>Thiếu hđ 300 số</t>
  </si>
  <si>
    <t>Số 47, Ngõ 24, phố Đặng Tiến Đông - Phường Trung Liệt - Quận Đống đa - Hà Nội.</t>
  </si>
  <si>
    <t>Chị Lan Anh thuế Hoàng Mai</t>
  </si>
  <si>
    <t>0105754928</t>
  </si>
  <si>
    <t>Dương: 0339215886</t>
  </si>
  <si>
    <t>Số 187 Đê La Thành - Phường ô Chợ Dừa - Quận Đống đa - Hà Nội.</t>
  </si>
  <si>
    <t>Số 8, ngách 252/15, phố Tây Sơn - Phường Trung Liệt - Quận Đống đa - Hà Nội.</t>
  </si>
  <si>
    <t>0984405254</t>
  </si>
  <si>
    <t>Chị Yến: 0912009963</t>
  </si>
  <si>
    <t>số 35 ngõ 98 Thái Hà, phường Trung Liệt - Phường Trung Liệt - Quận Đống đa - Hà Nội.</t>
  </si>
  <si>
    <t>Số nhà 371/17/15 đường La Thành - Phường ô Chợ Dừa - Quận Đống đa - Hà Nội.</t>
  </si>
  <si>
    <t>Thơm: 0906237663</t>
  </si>
  <si>
    <t>Tầng 2 Tòa nhà Digicity 277 Nguyễn Trãi - Phường Thanh Xuân Trung - Quận Thanh Xuân - Hà Nội.</t>
  </si>
  <si>
    <t>Số 18, ngõ 78, đường Kim Giang - Phường Đại Kim - Quận Hoàng Mai - Hà Nội.</t>
  </si>
  <si>
    <t>Số 79, phố An Trạch - Phường Quốc Tử Giám - Quận Đống đa - Hà Nội.</t>
  </si>
  <si>
    <t>Km 24, quốc lộ 6 - Xã Tiên Phương - Huyện Chương Mỹ - Hà Nội.</t>
  </si>
  <si>
    <t>Số 31B, ngõ 252, phố Tây Sơn - Phường Trung Liệt - Quận Đống đa - Hà Nội.</t>
  </si>
  <si>
    <t>P308, P105 nhà A9, khu tập thể Khương Thượng - Phường Trung Tự - Quận Đống đa - Hà Nội.</t>
  </si>
  <si>
    <t>091 6079768 Gđ Oanh</t>
  </si>
  <si>
    <t>Số 9, Ngõ 143 nga�ch 12 Kim Mã - Phường Kim Mã - Quận Ba Đình - Hà Nội.</t>
  </si>
  <si>
    <t>Số 8 ngõ 16, phố Thái Hà, tổ 14 - Phường Trung Liệt - Quận Đống đa - Hà Nội.</t>
  </si>
  <si>
    <t xml:space="preserve"> CÔNG TY CỔ PHẦN XUẤT NHẬP KHẨU CIENCO8</t>
  </si>
  <si>
    <t>2700822866</t>
  </si>
  <si>
    <t>Lô C2, KCN Khánh Phú - Xã Ninh Phúc - Thành phố Ninh Bình - Ninh Bình.</t>
  </si>
  <si>
    <t>0989254106</t>
  </si>
  <si>
    <t>phucienco8iec@gmail.com</t>
  </si>
  <si>
    <t>CÔNG TY CỔ PHẦN ĐẦU TƯ THƯƠNG MẠI VÀ DỊCH VỤ SHC VIỆT NAM CHI NHÁNH TUY HÒA</t>
  </si>
  <si>
    <t>0104288777-007</t>
  </si>
  <si>
    <t>Lô L3-06, Tầng L3, TTTM Vincom Plaza Phú Yên, Góc đông bắc n - Phường 7 - TP Tuy Hoà - Phú Yên.</t>
  </si>
  <si>
    <t>Phú Yên</t>
  </si>
  <si>
    <t>0976652816</t>
  </si>
  <si>
    <t>http://vietstreet.vn/category/he-thong-nha-hang/</t>
  </si>
  <si>
    <t>Đã TT Nacencommm</t>
  </si>
  <si>
    <t>CÔNG TY CỔ PHẦN IN VÀ BAO BÌ VIỆT NAM</t>
  </si>
  <si>
    <t>0104400154</t>
  </si>
  <si>
    <t>Số 1, ngõ 975, đường Nguyễn Tam Trinh - Phường Yên Sở - Quận Hoàng Mai - Hà Nội.</t>
  </si>
  <si>
    <t>tlananh2010@gmail.com</t>
  </si>
  <si>
    <t>CÔNG TY CỔ PHẦN ĐẦU TƯ VÀ TƯ VẤN COCOWIN</t>
  </si>
  <si>
    <t>Số 73, phố Vĩnh Hưng - Phường Vĩnh Hưng - Quận Hoàng Mai - Hà Nội.</t>
  </si>
  <si>
    <t>0108044718</t>
  </si>
  <si>
    <t>CÔNG TY CỔ PHẦN ĐT VÀ TM NGUYỄN HOÀNG PHÁT</t>
  </si>
  <si>
    <t>Xóm 9 - Xã Lệ Chi - Huyện Gia Lâm - Hà Nội.</t>
  </si>
  <si>
    <t>0101362888</t>
  </si>
  <si>
    <t>CÔNG TY CỔ PHẦN THIẾT BỊ KỸ THUẬT HÀNG KHÔNG</t>
  </si>
  <si>
    <t>Số 42 Premier, ngõ 100 phố Dịch Vọng Hậu - Phường Dịch Vọng Hậu - Quận Cầu Giấy - Hà Nội.</t>
  </si>
  <si>
    <t>0101619741</t>
  </si>
  <si>
    <t>CÔNG TY CỔ PHẦN VIỆT HOÀNG THÀNH</t>
  </si>
  <si>
    <t>0101912852</t>
  </si>
  <si>
    <t xml:space="preserve"> CÔNG TY TNHH TƯ VẤN ĐẦU TƯ THƯƠNG MẠI VÀ DỊCH VỤ KNB</t>
  </si>
  <si>
    <t>Số 116, tổ 44 - Phường Trung Tự - Quận Đống đa - Hà Nội.</t>
  </si>
  <si>
    <t xml:space="preserve"> CÔNG TY TNHH THƯƠNG MẠI VÀ DỊCH VỤ LONG TUẤN</t>
  </si>
  <si>
    <t xml:space="preserve"> 0106738284</t>
  </si>
  <si>
    <t>Số 15, phố Tôn Đức Thắng - Phường Quốc Tử Giám - Quận Đống đa - Hà Nội.</t>
  </si>
  <si>
    <t>CÔNG TY TNHH DỊCH VỤ VÀ THƯƠNG MẠI TỔNG HỢP NGỌC LINH</t>
  </si>
  <si>
    <t>Số 33, ngõ 252/53 Tây Sơn - Phường Trung Liệt - Quận Đống đa - Hà Nội.</t>
  </si>
  <si>
    <t>0107278449</t>
  </si>
  <si>
    <t>0977687857</t>
  </si>
  <si>
    <t>Xuanthuy1701@gmail.com</t>
  </si>
  <si>
    <t>Chị Nhung Thuế Đống Đa</t>
  </si>
  <si>
    <t>Chị Thủy - 0913049596</t>
  </si>
  <si>
    <t>0109011497</t>
  </si>
  <si>
    <t>0401840528</t>
  </si>
  <si>
    <t>0100510043</t>
  </si>
  <si>
    <t>0106902791</t>
  </si>
  <si>
    <t>CÔNG TY TNHH ĐẦU TƯ &amp; GIÁO DỤC LIZSU</t>
  </si>
  <si>
    <t>CÔNG TY TNHH DỊCH VỤ DU THUYỀN TIÊN SA</t>
  </si>
  <si>
    <t>CÔNG TY CỔ PHẦN ĐỊA ỐC DẦU KHÍ VIỄN THÔNG</t>
  </si>
  <si>
    <t>CÔNG TY TNHH XUẤT NHẬP KHẨU THƯƠNG MẠI VÀ DỊCH VỤ TỔNG HỢP THIÊN THÁI</t>
  </si>
  <si>
    <t>eINVOICE5-eI5.000</t>
  </si>
  <si>
    <t>TT TK Long</t>
  </si>
  <si>
    <t>Thanhxuan Diamond -090 1723779</t>
  </si>
  <si>
    <t>GD: 0936363189, Hương Suki: 096 2721688</t>
  </si>
  <si>
    <t xml:space="preserve"> VĂN PHÒNG LUẬT SƯ HHM VIỆT NAM</t>
  </si>
  <si>
    <t>CÔNG TY CỔ PHẦN CHUYỂN GIAO CÔNG NGHỆ HẢI MINH</t>
  </si>
  <si>
    <t>CÔNG TY TNHH NĂNG LƯỢNG TTD</t>
  </si>
  <si>
    <t>CÔNG TY CỔ PHẦN NỀN MÓNG SÔNG ĐÀ 207</t>
  </si>
  <si>
    <t>0108197792</t>
  </si>
  <si>
    <t>0108848701</t>
  </si>
  <si>
    <t>0106540083</t>
  </si>
  <si>
    <t>6101268406</t>
  </si>
  <si>
    <t>0107565309</t>
  </si>
  <si>
    <t>havt@ahn.com.vn</t>
  </si>
  <si>
    <t>0977932206</t>
  </si>
  <si>
    <t>Chị Phượng bảo Long 0387246683</t>
  </si>
  <si>
    <t>Halinhcph@gmail.com</t>
  </si>
  <si>
    <t>tranlan.haiminh@gmail.com</t>
  </si>
  <si>
    <t>Lan Hải minh: 034 6717306/0919882114</t>
  </si>
  <si>
    <t>CÔNG TY TNHH THƯƠNG MẠI DỊCH VỤ SONG TÙNG</t>
  </si>
  <si>
    <t>CÔNG TY TNHH TƯ VẤN DỰ ÁN SỨC KHOẺ VÀ MÔI TRƯỜNG</t>
  </si>
  <si>
    <t>CÔNG TY CỔ PHẦN SẢN XUẤT VÀ TRUYỀN THÔNG HOST</t>
  </si>
  <si>
    <t>Công ty cổ phần Địa Ốc MTC</t>
  </si>
  <si>
    <t>CÔNG TY TNHH SẢN XUẤT THƯƠNG MẠI DỊCH VỤ TƯ VẤN DƯƠNG MINH DŨNG</t>
  </si>
  <si>
    <t>CÔNG TY CỔ PHẦN KD-TM SONG PHÚC</t>
  </si>
  <si>
    <t>CÔNG TY TNHH THƯƠNG MẠI VÀ XUẤT NHẬP KHẨU TAM MỘC</t>
  </si>
  <si>
    <t>CÔNG TY TNHH MỸ THUẬT THU AN</t>
  </si>
  <si>
    <t>CÔNG TY CỔ PHẦN SẢN XUẤT QUẠT CÔNG NGHIỆP VIMAX</t>
  </si>
  <si>
    <t>CÔNG TY CỔ PHẦN HOÁ CHẤT NHỰA VIỆT ĐỨC</t>
  </si>
  <si>
    <t>CÔNG TY CỔ PHẦN CƠ ĐIỆN LẠNH KHÁNH HÀ</t>
  </si>
  <si>
    <t>CÔNG TY TNHH EMIRAI</t>
  </si>
  <si>
    <t>CÔNG TY TNHH FLEUR_MINH QUÂN</t>
  </si>
  <si>
    <t>CÔNG TY CỔ PHẦN THIẾT BỊ ĐIỆN KẾT NỐI VIỆT</t>
  </si>
  <si>
    <t>5800490151</t>
  </si>
  <si>
    <t>0104085590</t>
  </si>
  <si>
    <t>0108029702</t>
  </si>
  <si>
    <t>0108503129</t>
  </si>
  <si>
    <t>0108033875</t>
  </si>
  <si>
    <t>0108187498</t>
  </si>
  <si>
    <t>0107680421</t>
  </si>
  <si>
    <t>0106156776</t>
  </si>
  <si>
    <t>0108863837</t>
  </si>
  <si>
    <t>0102195372</t>
  </si>
  <si>
    <t>0105985629</t>
  </si>
  <si>
    <t>0106689189</t>
  </si>
  <si>
    <t>0105205205</t>
  </si>
  <si>
    <t>0104247019</t>
  </si>
  <si>
    <t>levb84@gmail.com</t>
  </si>
  <si>
    <t>098 4562048</t>
  </si>
  <si>
    <t>tammoc.ltd@gmail.com</t>
  </si>
  <si>
    <t>0915440550</t>
  </si>
  <si>
    <t>ketoan@codienvimax.vn</t>
  </si>
  <si>
    <t>0944838789</t>
  </si>
  <si>
    <t xml:space="preserve"> CÔNG TY CỔ PHẦN KIẾN TRÚC RUBIK VIỆT NAM</t>
  </si>
  <si>
    <t>Số 07, ngách 19, ngõ 107, phố Vĩnh Hưng - Phường Vĩnh Hưng - Quận Hoàng Mai - Hà Nội.</t>
  </si>
  <si>
    <t>0105761428</t>
  </si>
  <si>
    <t>0931746686 Chị Liên</t>
  </si>
  <si>
    <t>Bichlien17kdcn@gmail.com</t>
  </si>
  <si>
    <t>CÔNG TY CỔ PHẦN DỆT CÔNG NGHIỆP HÀ NỘI</t>
  </si>
  <si>
    <t xml:space="preserve"> 0100100985</t>
  </si>
  <si>
    <t xml:space="preserve">93 Lĩnh Nam - Phường Mai Động - Quận Hoàng Mai - Hà Nội.
</t>
  </si>
  <si>
    <t>Đã TT Nacencomm 2.4tr</t>
  </si>
  <si>
    <t>Đã TT Nacencomm 1.8tr</t>
  </si>
  <si>
    <t>CÔNG TY CỔ PHẦN DTN VIỆT NAM</t>
  </si>
  <si>
    <t>0901012226</t>
  </si>
  <si>
    <t>Thôn An Lạc - Xã Đồng Tiến - Huyện Khoái Châu - Hưng Yên.</t>
  </si>
  <si>
    <t>Đã TT Long - Chúc nộp lại cty</t>
  </si>
  <si>
    <t>2300944330</t>
  </si>
  <si>
    <t>CÔNG TY TNHH UNION VIỆT NAM</t>
  </si>
  <si>
    <t>Lô F4-1, khu công nghiệp Quế Võ (khu vực mở rộng) - Phường Nam Sơn - Thành phố Bắc Ninh - Bắc Ninh.</t>
  </si>
  <si>
    <t>unionvietnam2016@gmail.com</t>
  </si>
  <si>
    <t>0965.213.608</t>
  </si>
  <si>
    <t>CÔNG TY TNHH KINH DOANH VÀ PHÁT TRIỂN TRƯỜNG SƠN</t>
  </si>
  <si>
    <t>0109274312</t>
  </si>
  <si>
    <t>Nhà số 147.5 Khu đô thị Nam An Khánh, - Xã An Khánh - Huyện Hoài Đức - Hà Nội.</t>
  </si>
  <si>
    <t>CÔNG TY TRÁCH NHIỆM HỮU HẠN MỘT THÀNH VIÊN KIM OANH</t>
  </si>
  <si>
    <t>Tổ 1A - Phường Tân Thịnh - Thành phố Hoà Bình - Hòa Bình.</t>
  </si>
  <si>
    <t>5400262513</t>
  </si>
  <si>
    <t>0912 574 360</t>
  </si>
  <si>
    <t xml:space="preserve"> CÔNG TY TNHH XĂNG DẦU XUÂN THẮNG</t>
  </si>
  <si>
    <t>Số nhà 7, khu tập thể Vật Tư, thôn Chợ - Xã Bình Minh - Huyện Thanh Oai - Hà Nội.</t>
  </si>
  <si>
    <t xml:space="preserve"> 0500469495</t>
  </si>
  <si>
    <t>0102629904</t>
  </si>
  <si>
    <t>Số 2, ngõ 210 phố Lê Trọng Tấn, P.Định Công - - Quận Hoàng Mai - Hà Nội.</t>
  </si>
  <si>
    <t>CÔNG TY CỔ PHẦN F1AUTO
CÔNG TY CỔ PHẦN CÔNG NGHỆ VÀ TRUYỀN THÔNG GM</t>
  </si>
  <si>
    <t>0982309139 E Duyên</t>
  </si>
  <si>
    <t>CÔNG TY CỔ PHẦN TƯ VẤN THIẾT KẾ XÂY DỰNG HẢI ANH</t>
  </si>
  <si>
    <t xml:space="preserve"> 0109195822</t>
  </si>
  <si>
    <t>Chị Vân Anh Anh Lập</t>
  </si>
  <si>
    <t>Số nhà 98 đường Nguyễn Đổng Chi, - Phường Cầu Diễn - Quận Nam Từ Liêm - Hà Nội.</t>
  </si>
  <si>
    <t>0915691319</t>
  </si>
  <si>
    <t>CÔNG TY TNHH THƯƠNG MẠI - XÂY DỰNG - CÔNG NGHỆ VIỄN THÔNG TRUYỀN HÌNH NGỌC ĐĂNG</t>
  </si>
  <si>
    <t xml:space="preserve"> 0303898329</t>
  </si>
  <si>
    <t>210/9B Lê Văn Sỹ - Phường 10 - Quận Phú Nhuận - TP Hồ Chí Minh.</t>
  </si>
  <si>
    <t>29/07/2020 FT20211001301023\BNK 10321656622015 Ct cp tu van tk xay dung Hai Anh, m st 0109195822 ct dv chung thu so CA 2  1,827,100</t>
  </si>
  <si>
    <t>29/07/2020 FT20211021183111\BNK 10321656622015 MST 0102629904 GIA HAN CKS 1 NAM  1,277,100</t>
  </si>
  <si>
    <t>0107407373</t>
  </si>
  <si>
    <t>CÔNG TY TNHH VẬN TẢI VÀ DU LỊCH HÀ AN</t>
  </si>
  <si>
    <t>Thoa bạn chị Thúy</t>
  </si>
  <si>
    <t>Số nhà 39, tổ 17 phố Đại Linh - Phường Trung Văn - Quận Nam Từ Liêm - Hà Nội.</t>
  </si>
  <si>
    <t>CÔNG TY CỔ PHẦN SẢN XUẤT VÀ THƯƠNG MẠI WINSUN VIỆT NAM</t>
  </si>
  <si>
    <t>31/07/2020 FT20213115304698\BNK 10321656622015 Thanh toan gia han cks  1,000,000</t>
  </si>
  <si>
    <t>Xóm 10 - Xã Yên Mỹ - Huyện Thanh Trì - Hà Nội.</t>
  </si>
  <si>
    <t>0108720490</t>
  </si>
  <si>
    <t>lelam210666@gmail.com</t>
  </si>
  <si>
    <t>ĐT 0936757889</t>
  </si>
  <si>
    <t>3702873995</t>
  </si>
  <si>
    <t>CÔNG TY TNHH F.WINE</t>
  </si>
  <si>
    <t>Lê Lâm ABA</t>
  </si>
  <si>
    <t>CTV Hằng - Bạn Thu</t>
  </si>
  <si>
    <t>Số 24E, Đường D2, Khu dân cư The Season, Kp Đông Nhì - Phường Lái Thiêu - Thành phố Thuận An - Bình Dương.</t>
  </si>
  <si>
    <t>hang.nguyen@saigonfutures.com</t>
  </si>
  <si>
    <t>sdt 098 565 2612</t>
  </si>
  <si>
    <t xml:space="preserve"> CÔNG TY CỔ PHẦN ĐẦU TƯ PHÁT TRIỂN DU LỊCH PHƯỢNG HOÀNG</t>
  </si>
  <si>
    <t xml:space="preserve"> 5701820031</t>
  </si>
  <si>
    <t>Tổ 8, khu Tân Lập 4 - Phường Cẩm Thủy - Thành phố Cẩm Phả - Quảng Ninh.</t>
  </si>
  <si>
    <t>0978659145 Chi Dung</t>
  </si>
  <si>
    <t>phuonghoangquangninh@gmail.com</t>
  </si>
  <si>
    <t>31/07/2020 FT20213076468029\BNK 10321656622015 CTY CP DAU TU PT DU LICH PHUONG HOA NG TT PHI GIA HAN CHUNG THU SO CHO NACENCOMM  2,400,000</t>
  </si>
  <si>
    <t xml:space="preserve"> CÔNG TY CỔ PHẦN ĐẦU TƯ VÀ PHÁT TRIỂN DNA VIỆT NAM</t>
  </si>
  <si>
    <t>CN CTY CỔ PHẦN THIẾT BỊ KỸ THUẬT VÀ CHUYỂN GIAO CÔNG NGHỆ</t>
  </si>
  <si>
    <t>0101105778-002</t>
  </si>
  <si>
    <t>Số 54 tổ 21 cụm 6 - Phường Hạ Đình - Quận Thanh Xuân - Hà Nội.</t>
  </si>
  <si>
    <t>CÔNG TY CỔ PHẦN SẢN XUẤT PHÚ LỰC (VN)</t>
  </si>
  <si>
    <t xml:space="preserve">Đàm luyến: 
Số khách Chị Cẩm Tiên 
Điện thoại : 0976757587 </t>
  </si>
  <si>
    <t xml:space="preserve"> CÔNG TY TNHH MTV CHĂN NUÔI T.I.G.E.R</t>
  </si>
  <si>
    <t>Trung tâm giáo dục thường xuyên, Bản Chiềng Ban - Thị trấn Lang Chánh - Huyện Lang Chánh - Thanh Hoá.</t>
  </si>
  <si>
    <t>2802407467</t>
  </si>
  <si>
    <t>CÔNG TY TNHH MTV CHĂN NUÔI RTD</t>
  </si>
  <si>
    <t>2802407481</t>
  </si>
  <si>
    <t>Bù trừ Hóa đơn chị Dương</t>
  </si>
  <si>
    <t>CÔNG TY TNHH CUNG ỨNG VÀ DỊCH VỤ KHOA HỌC CÔNG NGHỆ VIỆT PROTON</t>
  </si>
  <si>
    <t>Anh Quang</t>
  </si>
  <si>
    <t>Chú Tài</t>
  </si>
  <si>
    <t>CÔNG TY TNHH THƯƠNG MẠI VÀ DỊCH VỤ BẢO TRÌ PHẦN MỀM</t>
  </si>
  <si>
    <t>CÔNG TY TNHH XUẤT NHẬP KHẨU VÀ THƯƠNG MẠI VẬN TẢI TRẦN GIA VIỆT NAM</t>
  </si>
  <si>
    <t>CÔNG TY CỔ PHẦN TRUYỀN THÔNG VÀ QUẢNG CÁO VIETNET</t>
  </si>
  <si>
    <t>0107368741</t>
  </si>
  <si>
    <t>0105956339</t>
  </si>
  <si>
    <t>0102740733</t>
  </si>
  <si>
    <t xml:space="preserve"> CÔNG TY TNHH THƯƠNG MẠI ĐẦU TƯ &amp; DU LỊCH LAM SƠN</t>
  </si>
  <si>
    <t>CÔNG TY CỔ PHẦN THIẾT BỊ BỂ BƠI KIM CƯƠNG</t>
  </si>
  <si>
    <t>CÔNG TY TNHH ĐẦU TƯ THƯƠNG MẠI VÀ DỊCH VỤ TÂN TRANG</t>
  </si>
  <si>
    <t>CÔNG TY TNHH PHÁT TRIỂN CÔNG NGHỆ VÀ THƯƠNG MẠI DỊCH VỤ VIỆT NAM</t>
  </si>
  <si>
    <t>0104818858</t>
  </si>
  <si>
    <t>0107770932</t>
  </si>
  <si>
    <t>0106770263</t>
  </si>
  <si>
    <t>0103002739</t>
  </si>
  <si>
    <t>Chị Hường GĐ: 091 2171999</t>
  </si>
  <si>
    <t>0976388378</t>
  </si>
  <si>
    <t xml:space="preserve"> Lê Kim Dung 0949825995</t>
  </si>
  <si>
    <t xml:space="preserve">Ngọc Nga: </t>
  </si>
  <si>
    <t>CÔNG TY CỔ PHẦN SAO KIM</t>
  </si>
  <si>
    <t>0101656038</t>
  </si>
  <si>
    <t xml:space="preserve">Số 54, phố Vạn Kiếp - Phường Bạch Đằng - Quận Hai Bà Trưng - Hà Nội.
</t>
  </si>
  <si>
    <t>ngovanthuc88@gmail.com</t>
  </si>
  <si>
    <t>091 5342879</t>
  </si>
  <si>
    <t>CÔNG TY TNHH ANH LIÊN</t>
  </si>
  <si>
    <t xml:space="preserve"> 0101256103</t>
  </si>
  <si>
    <t xml:space="preserve">357 đường Hoàng Quốc Việt - Phường Nghĩa Tân - Quận Cầu Giấy - Hà Nội.
</t>
  </si>
  <si>
    <t>0943500397</t>
  </si>
  <si>
    <t>hangtran.hn1978@gmail.com</t>
  </si>
  <si>
    <t>CÔNG TY TNHH MTV NHÀ XANH NÔNG NGHIỆP</t>
  </si>
  <si>
    <t>0105488521</t>
  </si>
  <si>
    <t>Số 7, ngách 98/14, Nguyễn Ngọc Nại - Phường Khương Mai - Quận Thanh Xuân - Hà Nội.</t>
  </si>
  <si>
    <t>CÔNG TY TNHH THIẾT BỊ VÀ GIẢI PHÁP TỰ ĐỘNG EASOL</t>
  </si>
  <si>
    <t xml:space="preserve">Số 3, ngõ 116 phố Đại Từ - Phường Đại Kim - Quận Hoàng Mai - Hà Nội.
</t>
  </si>
  <si>
    <t>0105562006</t>
  </si>
  <si>
    <t>dongvuinfo@gmail.com</t>
  </si>
  <si>
    <t>30/07/2020 FT20212843668130\BNK 10321656622015 Daikon tra tien hddt  800,000</t>
  </si>
  <si>
    <t>0102455817</t>
  </si>
  <si>
    <t>Anh Long 0915252711</t>
  </si>
  <si>
    <t>Loan Khôi nguyên</t>
  </si>
  <si>
    <t>Hải Anh 0903346886</t>
  </si>
  <si>
    <t>viettrungtbcn.jsc@gmail.com</t>
  </si>
  <si>
    <t>Bạn chú Khánh - Chú Hải 0983366587</t>
  </si>
  <si>
    <t>Cô Thảo: 0915088285</t>
  </si>
  <si>
    <t>Lan 0828438683</t>
  </si>
  <si>
    <t>Chị Nga 096 2986225</t>
  </si>
  <si>
    <t>03/08/2020 FT20216391239850\BNK 10321656622015 MBVCB.718487982.032098.VU BA TUAN c huyen tien cty kevin thanh toan tie n hoa don dien tu.CT tu 045100  800,000</t>
  </si>
  <si>
    <t>05/08/2020 FT20218873369866\BNK 10321656622015 TT mua phan mem hoa don dien tu HD13249  800,000</t>
  </si>
  <si>
    <t xml:space="preserve"> CÔNG TY CỔ PHẦN THƯƠNG MẠI XUẤT NHẬP KHẨU Ô TÔ HÀ NỘI</t>
  </si>
  <si>
    <t>0105284856</t>
  </si>
  <si>
    <t>Số 425, đường Nguyễn Văn Cừ - Phường Gia Thuỵ - Quận Long Biên - Hà Nội.</t>
  </si>
  <si>
    <t>Đã TT Long 1740K/1cty</t>
  </si>
  <si>
    <t xml:space="preserve"> CÔNG TY TNHH NGỌC NAM VI</t>
  </si>
  <si>
    <t xml:space="preserve"> 0310443160</t>
  </si>
  <si>
    <t>B11/24 ấp 2 Rạch Cái Trung - Xã Tân Kiên - Huyện Bình Chánh - TP Hồ Chí Minh.</t>
  </si>
  <si>
    <t>CÔNG TY XÂY DỰNG VĨNH LẠC</t>
  </si>
  <si>
    <t>2500100856</t>
  </si>
  <si>
    <t>Khu 1 - Thị trấn Thổ Tang - Huyện Vĩnh Tường - Vĩnh Phúc.</t>
  </si>
  <si>
    <t>CÔNG TY TNHH PHÚC MINH NGỌC</t>
  </si>
  <si>
    <t xml:space="preserve">B15 - 05 Khu chức năng đô thị thành phố xanh, đường Hàm Nghi - Phường Cầu Diễn - Quận Nam Từ Liêm - Hà Nội.
</t>
  </si>
  <si>
    <t>0108204224</t>
  </si>
  <si>
    <t>CÔNG TY CỔ PHẦN CHÈ LONG PHÚ</t>
  </si>
  <si>
    <t xml:space="preserve"> 5000599181</t>
  </si>
  <si>
    <t>Lô B4, Khu công nghiệp Long Bình An - Phường Đội Cấn - Thành Phố Tuyên Quang - Tuyên Quang.</t>
  </si>
  <si>
    <t>Phương:  0978222650</t>
  </si>
  <si>
    <t>CÔNG TY CỔ PHẦN GIẢI PHÁP VIETNAMBIZCARE</t>
  </si>
  <si>
    <t>0109164736</t>
  </si>
  <si>
    <t>Tầng 12A, Tòa nhà GELEXIMCO số 36 Hoàng Cầu - Phường ô Chợ Dừa - Quận Đống đa - Hà Nội.</t>
  </si>
  <si>
    <t>Ngà - Đường Lợi Nhân 0917358768</t>
  </si>
  <si>
    <t>CÔNG TY TNHH THƯƠNG MẠI VÀ KỸ THUẬT CÔNG NGHỆ NHẬT NAM</t>
  </si>
  <si>
    <t>Thôn Ngang Nội - Xã Hiên Vân - Huyện Tiên Du - Bắc Ninh.</t>
  </si>
  <si>
    <t>2301140251</t>
  </si>
  <si>
    <t xml:space="preserve"> 0101061104</t>
  </si>
  <si>
    <t>Chị Chinh</t>
  </si>
  <si>
    <t>CÔNG TY TNHH VŨ QUỲNH</t>
  </si>
  <si>
    <t xml:space="preserve">12 Tổ 21 Phường minh khai - Phường Minh Khai - Quận Hai Bà Trưng - Hà Nội.
</t>
  </si>
  <si>
    <t xml:space="preserve"> CÔNG TY CỔ PHẦN ĐẦU TƯ XÂY DỰNG ĐÔNG DƯƠNG G7</t>
  </si>
  <si>
    <t>0107622645</t>
  </si>
  <si>
    <t>Lô A3 (Tầng 3, tòa C) khu đô thị mới Cầu Giấy - Phường Dịch Vọng Hậu - Quận Cầu Giấy - Hà Nội.</t>
  </si>
  <si>
    <t>CÔNG TY TNHH NỘI THẤT GIANG SƠN</t>
  </si>
  <si>
    <t>0102712158</t>
  </si>
  <si>
    <t xml:space="preserve">Số 40, ngõ 160, đường Lương Thế Vinh - Phường Thanh Xuân Bắc - Quận Thanh Xuân - Hà Nội.
</t>
  </si>
  <si>
    <t>CÔNG TY TNHH FUJI PMA VIỆT NAM</t>
  </si>
  <si>
    <t xml:space="preserve">Hoàng Gia </t>
  </si>
  <si>
    <t>Hoàng Gia 0966267068</t>
  </si>
  <si>
    <t>0109223798</t>
  </si>
  <si>
    <t>Số nhà C15, Dãy nhà C, Tập thể Trường Cán bộ Quản lý nông ng, - Xã Vĩnh Quỳnh - Huyện Thanh Trì - Hà Nội.</t>
  </si>
  <si>
    <t>CÔNG TY TNHH NGỌC NAM VI</t>
  </si>
  <si>
    <t>0918506041 tư vấn dùng HĐ</t>
  </si>
  <si>
    <t>Bình chánh</t>
  </si>
  <si>
    <t xml:space="preserve"> CÔNG TY TRÁCH NHIỆM HỮU HẠN THƯƠNG MẠI VÀ DU LỊCH NẮNG PHƯƠNG ĐÔNG</t>
  </si>
  <si>
    <t xml:space="preserve"> 5701855771</t>
  </si>
  <si>
    <t>Tổ 15, khu 3A - Phường Giếng Đáy - Thành phố Hạ Long - Quảng Ninh.</t>
  </si>
  <si>
    <t>Hạ Long</t>
  </si>
  <si>
    <t xml:space="preserve"> CÔNG TY TNHH TẦM NHÌN THƯƠNG MẠI HLQ</t>
  </si>
  <si>
    <t>Tầng 3, số 21 ngách 8/11/92 Lê Quang Đạo - Phường Phú Đô - Quận Nam Từ Liêm - Hà Nội.</t>
  </si>
  <si>
    <t>0108363746</t>
  </si>
  <si>
    <t xml:space="preserve"> CÔNG TY TNHH SOFTLINE VIỆT NAM</t>
  </si>
  <si>
    <t>Tầng 7, tòa nhà CEO, lô HH2-1, đường Phạm Hùng - Phường Mễ Trì - Quận Nam Từ Liêm - Hà Nội.</t>
  </si>
  <si>
    <t xml:space="preserve"> 0104027126</t>
  </si>
  <si>
    <t>nga.nguyen@vietnambizcare.com
&lt;dung.le@vietnambizcare.com&gt;,
&lt;kien.nguyen@vietnambizcare.com&gt;,
&lt;quang.nguyen@vietnambizcare.com&gt;</t>
  </si>
  <si>
    <t>CÔNG TY CỔ PHẦN XUẤT NHẬP KHẨU THANG MÁY VIỆT NHẬT</t>
  </si>
  <si>
    <t xml:space="preserve">BT 3.1 khu đô thị Tây Mỗ (Vigracera) Đường Hữu Hưng - Phường Tây Mỗ - Quận Nam Từ Liêm - Hà Nội.
</t>
  </si>
  <si>
    <t>0105802191</t>
  </si>
  <si>
    <t>Vật tư thang máy: 0383822218</t>
  </si>
  <si>
    <t>CÔNG TY CỔ PHẦN ĐẦU TƯ XÂY DỰNG BF</t>
  </si>
  <si>
    <t>Số 53E, 72/73/40 Phố Quan Nhân - Phường Nhân Chính - Quận Thanh Xuân - Hà Nội.</t>
  </si>
  <si>
    <t>0107702675</t>
  </si>
  <si>
    <t>CÔNG TY TNHH CAO BÌNH AN</t>
  </si>
  <si>
    <t>Số 25, ngõ 432, ngách 20, phố Đội Cấn - Phường Cống Vị - Quận Ba Đình - Hà Nội.</t>
  </si>
  <si>
    <t xml:space="preserve"> 0107291672</t>
  </si>
  <si>
    <t xml:space="preserve"> CÔNG TY CỔ PHẦN CÔNG NGHỆ VÀ PHÁT TRIỂN DỊCH VỤ QUỐC TẾ VISKY</t>
  </si>
  <si>
    <t xml:space="preserve">Số 9/33, ngõ 356, đường Kim Giang - Phường Đại Kim - Quận Hoàng Mai - Hà Nội.
</t>
  </si>
  <si>
    <t xml:space="preserve"> 0104415129</t>
  </si>
  <si>
    <t>0314022501-001</t>
  </si>
  <si>
    <t>CHI NHÁNH CÔNG TY TNHH BƠI LỘI BẢO NGỌC</t>
  </si>
  <si>
    <t>Câu Lạc Bộ Thể Thao, Khu Chế Xuất và Công Nghiệp Linh Trung - Phường An Tịnh - Thị xã Trảng Bàng - Tây Ninh.</t>
  </si>
  <si>
    <t>CÔNG TY CỔ PHẦN BMOBILE</t>
  </si>
  <si>
    <t xml:space="preserve">Tầng 6 tòa nhà Sannam, Số 78 phố Duy Tân - Phường Dịch Vọng Hậu - Quận Cầu Giấy - Hà Nội.
</t>
  </si>
  <si>
    <t>0106737114</t>
  </si>
  <si>
    <t>CÔNG TY TNHH THƯƠNG MẠI NHÂN PHƯƠNG</t>
  </si>
  <si>
    <t>0989152086</t>
  </si>
  <si>
    <t>kanguyen851985@gmail.com</t>
  </si>
  <si>
    <t xml:space="preserve">Thôn Tiên Hội - Xã Đông Hội - Huyện Đông Anh - Hà Nội.
</t>
  </si>
  <si>
    <t xml:space="preserve">0105214175 </t>
  </si>
  <si>
    <t xml:space="preserve"> CÔNG TY CỔ PHẦN XÂY DỰNG THƯƠNG MẠI VÀ DỊCH VỤ TUẤN TRƯỜNG</t>
  </si>
  <si>
    <t xml:space="preserve">KM4+500 Quốc Lộ 3 - Xã Cổ Loa - Huyện Đông Anh - Hà Nội.
</t>
  </si>
  <si>
    <t xml:space="preserve"> 0105887082</t>
  </si>
  <si>
    <t xml:space="preserve">CÔNG TY CỔ PHẦN DU LỊCH THÀNH HƯNG </t>
  </si>
  <si>
    <t>0912593320 Chị Lan</t>
  </si>
  <si>
    <t>Lan Anh</t>
  </si>
  <si>
    <t>Số 200, tổ 1A - Phường Định Công - Quận Hoàng Mai - Hà Nội.</t>
  </si>
  <si>
    <t>0102126315</t>
  </si>
  <si>
    <t>CÔNG TY TNHH MTV IN HOÀNG KIM PHÁT</t>
  </si>
  <si>
    <t>3901302227</t>
  </si>
  <si>
    <t xml:space="preserve">Tổ 10, Khu phố Hòa Hưng, - Phường An Hòa - Thị xã Trảng Bàng - Tây Ninh.
</t>
  </si>
  <si>
    <t xml:space="preserve">Email : camtien2508@gmail.com </t>
  </si>
  <si>
    <t>Điện thoại : 0976757587</t>
  </si>
  <si>
    <t>CÔNG TY TNHH CÔNG NGHỆ THẾ ANH</t>
  </si>
  <si>
    <t xml:space="preserve"> 0106907831</t>
  </si>
  <si>
    <t>thanh89.austrong@gmail.com</t>
  </si>
  <si>
    <t xml:space="preserve"> Số nhà 101, ngách 63, ngõ 173 Hoàng Hoa Thám - Phường Ngọc Hà - Quận Ba Đình - Hà Nội.</t>
  </si>
  <si>
    <t>CÔNG TY CỔ PHẦN DƯỢC PHẨM EUROPHARMA LIÊN DOANH</t>
  </si>
  <si>
    <t>0107533441</t>
  </si>
  <si>
    <t>C1-62 Khu đô thị Đại Kim- Định Công - Phường Đại Kim - Quận Hoàng Mai - Hà Nội.</t>
  </si>
  <si>
    <t xml:space="preserve"> CÔNG TY TNHH CÔNG NGHỆ VÀ KINH DOANH MẠNG QUỐC TẾ</t>
  </si>
  <si>
    <t>Số 147 Chùa Bộc - Phường Trung Liệt - Quận Đống đa - Hà Nội.</t>
  </si>
  <si>
    <t>0101303635</t>
  </si>
  <si>
    <t>CÔNG TY CỔ PHẦN NAM BẢO DƯỢC</t>
  </si>
  <si>
    <t xml:space="preserve"> 0106042112</t>
  </si>
  <si>
    <t>P312B - B15, khu đô thị Đại Kim - Phường Đại Kim - Quận Hoàng Mai - Hà Nội.</t>
  </si>
  <si>
    <t xml:space="preserve"> CÔNG TY CỔ PHẦN ĐẦU TƯ SẢN XUẤT VÀ THƯƠNG MẠI HỮU NGHỊ</t>
  </si>
  <si>
    <t xml:space="preserve"> 0106253191</t>
  </si>
  <si>
    <t xml:space="preserve">Số 184 - 185 C4, khu đô thị Đại Kim, đường Nguyễn Cảnh Dị - Phường Đại Kim - Quận Hoàng Mai - Hà Nội.
</t>
  </si>
  <si>
    <t xml:space="preserve"> CÔNG TY CỔ PHẦN ĐẦU TƯ VÀ THƯƠNG MẠI TÂM VIỆT</t>
  </si>
  <si>
    <t xml:space="preserve"> 0105664777</t>
  </si>
  <si>
    <t xml:space="preserve">Số 53-54 C1 Khu đô thị mới Đại Kim - Phường Đại Kim - Quận Hoàng Mai - Hà Nội.
</t>
  </si>
  <si>
    <t xml:space="preserve"> CÔNG TY CỔ PHẦN XÂY DỰNG VÀ PHÁT TRIỂN THƯƠNG MẠI VIỆT HÀN</t>
  </si>
  <si>
    <t>Số 108, ngõ 318, đường Đê La Thành - Phường ô Chợ Dừa - Quận Đống đa - Hà Nội.</t>
  </si>
  <si>
    <t xml:space="preserve"> 0106199868</t>
  </si>
  <si>
    <t>CÔNG TY CỔ PHẦN CÔNG NGHỆ KỸ THUẬT SỐ VÀ TRUYỀN THÔNG MEGAVIEW</t>
  </si>
  <si>
    <t xml:space="preserve"> 0106823194</t>
  </si>
  <si>
    <t xml:space="preserve">Số 33 dãy M2 khu ĐTM Yên Hòa - Phường Yên Hoà - Quận Cầu Giấy - Hà Nội.
</t>
  </si>
  <si>
    <t xml:space="preserve"> CÔNG TY TNHH XUẤT NHẬP KHẨU THƯƠNG MẠI HÒA BÌNH</t>
  </si>
  <si>
    <t>1001212979</t>
  </si>
  <si>
    <t xml:space="preserve">Số nhà 49, tổ 18, đường Nguyễn Văn Năng, - Phường Trần Lãm - Thành phố Thái Bình - Thái Bình.
</t>
  </si>
  <si>
    <t>Thái Bình</t>
  </si>
  <si>
    <t>0106209234</t>
  </si>
  <si>
    <t>CÔNG TY TNHH NÔNG NGHIỆP NEWWAY</t>
  </si>
  <si>
    <t xml:space="preserve">Nhà B8, ngõ 194 đường Giải Phóng - Phường Phương Liệt - Quận Thanh Xuân - Hà Nội.
</t>
  </si>
  <si>
    <t>CÔNG TY CỔ PHẦN XÂY DỰNG VÀ DỊCH VỤ TỔNG HỢP PHƯƠNG THANH</t>
  </si>
  <si>
    <t xml:space="preserve"> 2400372479</t>
  </si>
  <si>
    <t xml:space="preserve">Số 10 ngõ 1 đường Đàm Thuận Huy phường Trần Phú - Phường Trần Phú - Thành phố Bắc Giang - Bắc Giang.
</t>
  </si>
  <si>
    <t>Bắc Giang</t>
  </si>
  <si>
    <t xml:space="preserve"> CÔNG TY TNHH ĐẦU TƯ XÂY DỰNG VÀ THƯƠNG MẠI HOÀNG HÀ VIỆT NAM</t>
  </si>
  <si>
    <t>0106343021</t>
  </si>
  <si>
    <t>Số 81, Ngõ 102 Khuất Duy Tiến - Phường Nhân Chính - Quận Thanh Xuân - Hà Nội.</t>
  </si>
  <si>
    <t xml:space="preserve"> CÔNG TY TNHH LTB VIỆT NAM</t>
  </si>
  <si>
    <t>Tầng 12, tòa nhà HH3 khu đô thị Mỹ Đình - Phường Mỹ Đình 1 - Quận Nam Từ Liêm - Hà Nội.</t>
  </si>
  <si>
    <t>0106671008</t>
  </si>
  <si>
    <t>CÔNG TY CỔ PHẦN ĐẦU TƯ QUỐC TẾ GIA HỢP</t>
  </si>
  <si>
    <t xml:space="preserve"> 0107562548</t>
  </si>
  <si>
    <t>Tầng 8, Tòa nhà HH3 (Sudico), Khu đô thị Mỹ Đình - Phường Mỹ Đình 1 - Quận Nam Từ Liêm - Hà Nội.</t>
  </si>
  <si>
    <t>CÔNG TY TNHH SOFTLINE VIỆT NAM</t>
  </si>
  <si>
    <t>0104027126</t>
  </si>
  <si>
    <t>CÔNG TY CỔ PHẦN XÂY DỰNG VÀ THIẾT BỊ SẢN XUẤT CMF</t>
  </si>
  <si>
    <t>Số nhà 59, ngách 322/3 đường Mỹ Đình - Phường Mỹ Đình 1 - Quận Nam Từ Liêm - Hà Nội.</t>
  </si>
  <si>
    <t>0106518024</t>
  </si>
  <si>
    <t>CÔNG TY TNHH XÂY DỰNG CƠ ĐIỆN DCNCA VIỆT NAM</t>
  </si>
  <si>
    <t xml:space="preserve"> 0108272746</t>
  </si>
  <si>
    <t xml:space="preserve"> 57 Hà Trì 5 - Phường Hà Cầu - Quận Hà Đông - Hà Nội.</t>
  </si>
  <si>
    <t xml:space="preserve"> CÔNG TY CỔ PHẦN THƯƠNG MẠI VÀ ĐẦU TƯ TRUNG ANH</t>
  </si>
  <si>
    <t>0104572001</t>
  </si>
  <si>
    <t>Số 420/4 đường Đại Mỗ - Phường Đại Mỗ - Quận Nam Từ Liêm - Hà Nội.</t>
  </si>
  <si>
    <t>CÔNG TY TNHH THƯƠNG MẠI ALADIN VIỆT NAM</t>
  </si>
  <si>
    <t>0105764122</t>
  </si>
  <si>
    <t>Số 1, n gõ 2, phố Đại Từ - Phường Thịnh Liệt - Quận Hoàng Mai - Hà Nội.</t>
  </si>
  <si>
    <t>Đã TT Nacencomm 705K</t>
  </si>
  <si>
    <t>0107291672</t>
  </si>
  <si>
    <t xml:space="preserve"> Số 25, ngõ 432, ngách 20, phố Đội Cấn - Phường Cống Vị - Quận Ba Đình - Hà Nội.</t>
  </si>
  <si>
    <t>0100520073</t>
  </si>
  <si>
    <t xml:space="preserve"> CÔNG TY TNHH SÔNG THƯƠNG</t>
  </si>
  <si>
    <t>Số nhà 41, ngõ 130 phố Đốc Ngữ - Phường Vĩnh Phúc - Quận Ba Đình - Hà Nội.</t>
  </si>
  <si>
    <t>Chị Sang: 097 5902889</t>
  </si>
  <si>
    <t>Quyên 037 561 1614</t>
  </si>
  <si>
    <t>CÔNG TY CỔ PHẦN NÔNG NGHIỆP TLK</t>
  </si>
  <si>
    <t>Số 92 Võ Thị Sáu - Phường Thanh Nhàn - Quận Hai Bà Trưng - Hà Nội.</t>
  </si>
  <si>
    <t xml:space="preserve"> 0108783684</t>
  </si>
  <si>
    <t xml:space="preserve"> CÔNG TY TNHH THƯƠNG MẠI VÀ DỊCH VỤ XUẤT NHẬP KHẨU VICTORY</t>
  </si>
  <si>
    <t>2500517103</t>
  </si>
  <si>
    <t>Số 11 Lê Xoay - Phường Ngô Quyền - Thành phố Vĩnh Yên - Vĩnh Phúc.</t>
  </si>
  <si>
    <t>0974922641</t>
  </si>
  <si>
    <t xml:space="preserve"> CÔNG TY TNHH DU LỊCH VÀ DỊCH VỤ HÀ NỘI XANH</t>
  </si>
  <si>
    <t>0106696041</t>
  </si>
  <si>
    <t>Số 4, Ngõ 335, Đường Nguyễn Trãi - Phường Thanh Xuân Trung - Quận Thanh Xuân - Hà Nội.</t>
  </si>
  <si>
    <t>dovankhoa2008@gmail.com (Cty Hà Nội Xanh)</t>
  </si>
  <si>
    <t>CÔNG TY TNHH THƯƠNG MẠI VÀ ĐỒ GỖ QUÁCH NGÂN</t>
  </si>
  <si>
    <t>Nhà số 4, ngách 187/17 đường Xuân Đỉnh - Phường Xuân Đỉnh - Quận Bắc Từ Liêm - Hà Nội.</t>
  </si>
  <si>
    <t xml:space="preserve">0107239182 </t>
  </si>
  <si>
    <t>CÔNG TY TNHH MARAVILLA</t>
  </si>
  <si>
    <t>Tổ dân phố Hòe Thị 1 - Phường Phương Canh - Quận Nam Từ Liêm - Hà Nội.</t>
  </si>
  <si>
    <t>0105791359</t>
  </si>
  <si>
    <t xml:space="preserve">0383822218
</t>
  </si>
  <si>
    <t xml:space="preserve"> 1001212979</t>
  </si>
  <si>
    <t>Số nhà 49, tổ 18, đường Nguyễn Văn Năng, - Phường Trần Lãm - Thành phố Thái Bình - Thái Bình.</t>
  </si>
  <si>
    <t>0106485523</t>
  </si>
  <si>
    <t xml:space="preserve"> CÔNG TY CỔ PHẦN TƯ VẤN XÂY DỰNG QUANG ĐẠT</t>
  </si>
  <si>
    <t>Tổ dân phố Phúc Lý - Phường Minh Khai - Quận Bắc Từ Liêm - Hà Nội.</t>
  </si>
  <si>
    <t xml:space="preserve"> CÔNG TY CỔ PHẦN XÂY LẮP VÀ THƯƠNG MẠI TÂN TRƯỜNG GIANG</t>
  </si>
  <si>
    <t>LK 21, khu nhà ở CBNV viện bỏng quốc gia - Xã Tân Triều - Huyện Thanh Trì - Hà Nội.</t>
  </si>
  <si>
    <t xml:space="preserve"> 0106679938</t>
  </si>
  <si>
    <t>0104197544</t>
  </si>
  <si>
    <t>CÔNG TY CỔ PHẦN ĐẦU TƯ THƯƠNG MẠI VÀ DỊCH VỤ VĨNH PHÚC</t>
  </si>
  <si>
    <t>Số nhà 34, ngách 79/106, đường Cầu Giấy - Phường Yên Hoà - Quận Cầu Giấy - Hà Nội.</t>
  </si>
  <si>
    <t xml:space="preserve"> CÔNG TY CỔ PHẦN CÔNG NGHỆ TÂN SƠN MINH</t>
  </si>
  <si>
    <t xml:space="preserve"> 0102265220</t>
  </si>
  <si>
    <t>P803 B4 Khu đô thị Mỹ Đình 1 - Phường Cầu Diễn - Quận Nam Từ Liêm - Hà Nội.</t>
  </si>
  <si>
    <t xml:space="preserve"> CÔNG TY TNHH PHÚC MINH NGỌC</t>
  </si>
  <si>
    <t>B15 - 05 Khu chức năng đô thị thành phố xanh, đường Hàm Nghi - Phường Cầu Diễn - Quận Nam Từ Liêm - Hà Nội.</t>
  </si>
  <si>
    <t xml:space="preserve"> 0108204224</t>
  </si>
  <si>
    <t xml:space="preserve"> CÔNG TY CỔ PHẦN TƯ VẤN XÂY DỰNG VÀ THƯƠNG MẠI HÀ THÀNH</t>
  </si>
  <si>
    <t>Số 37/12/629 phố Kim Mã, phường Ngọc Khánh - Phường Ngọc Khánh - Quận Ba Đình - Hà Nội.</t>
  </si>
  <si>
    <t>0104069951</t>
  </si>
  <si>
    <t>84984820698</t>
  </si>
  <si>
    <t>CÔNG TY TNHH THƯƠNG MẠI DỊCH VỤ VÀ ĐẦU TƯ TRẦN GIA</t>
  </si>
  <si>
    <t>0106668693</t>
  </si>
  <si>
    <t>Số 28, ngõ 33, đường Hoàng Hoa Thám - Phường Ngọc Hà - Quận Ba Đình - Hà Nội.</t>
  </si>
  <si>
    <t xml:space="preserve"> CÔNG TY CỔ PHẦN GIẢI PHÁP VIETNAMBIZCARE</t>
  </si>
  <si>
    <t>Chị Ngà Đường lợi Nhân: 0917358768</t>
  </si>
  <si>
    <t xml:space="preserve"> CÔNG TY TNHH THƯƠNG MẠI VÀ CÔNG NGHỆ AN PHÁT LINH</t>
  </si>
  <si>
    <t>Số 14, ngách 27, ngõ 350, đường Kim Giang - Phường Đại Kim - Quận Hoàng Mai - Hà Nội.</t>
  </si>
  <si>
    <t xml:space="preserve"> 0107864771</t>
  </si>
  <si>
    <t xml:space="preserve">CÔNG TY TNHH THƯƠNG MẠI VÀ DỊCH VỤ CHUYỂN PHÁT NHANH DNC VIỆT NAM </t>
  </si>
  <si>
    <t>0106344240</t>
  </si>
  <si>
    <t>Tổ dân phố Chợ - Phường Đại Mỗ - Quận Nam Từ Liêm - Hà Nội.</t>
  </si>
  <si>
    <t xml:space="preserve"> CÔNG TY TNHH CÔNG NGHỆ MÔI TRƯỜNG THẾ KỶ MỚI</t>
  </si>
  <si>
    <t>0107808833</t>
  </si>
  <si>
    <t>Số 68, tổ 4, đường K2 - Phường Cầu Diễn - Quận Nam Từ Liêm - Hà Nội.</t>
  </si>
  <si>
    <t>CÔNG TY CỔ PHẦN NÔNG NGHIỆP ỨNG DỤNG CÔNG NGHỆ CAO HÀ NỘI</t>
  </si>
  <si>
    <t xml:space="preserve"> 0106168958</t>
  </si>
  <si>
    <t>Số 10, ngõ 2, đường Nguyễn Đổng Chi - Phường Cầu Diễn - Quận Nam Từ Liêm - Hà Nội.</t>
  </si>
  <si>
    <t xml:space="preserve"> CÔNG TY CỔ PHẦN DỊCH VỤ TƯƠNG TÁC VÀ TRUYỀN THÔNG</t>
  </si>
  <si>
    <t>Nhà 14 Lô BT3 khu ĐT Pháp Vân-Tứ Hiệp, Phường Hoàng Liệt - - Quận Hoàng Mai - Hà Nội.</t>
  </si>
  <si>
    <t>0103248235</t>
  </si>
  <si>
    <t xml:space="preserve"> CÔNG TY CỔ PHẦN THƯƠNG MẠI VÀ THIẾT BỊ GIÁO DỤC VIỆT ANH</t>
  </si>
  <si>
    <t>0104217053</t>
  </si>
  <si>
    <t>Số 15, Khối 2, Tổ 13 - Phường Cầu Diễn - Quận Nam Từ Liêm - Hà Nội.</t>
  </si>
  <si>
    <t>CÔNG TY TNHH DELTA REAL VIỆT NAM</t>
  </si>
  <si>
    <t xml:space="preserve"> 0104103190</t>
  </si>
  <si>
    <t>Tầng 23, tòa nhà Vinaconex 9, đường Phạm Hùng - Phường Mễ Trì - Quận Nam Từ Liêm - Hà Nội</t>
  </si>
  <si>
    <t>CÔNG TY TNHH THƯƠNG MẠI VÀ DỊCH VỤ CHUYỂN PHÁT NHANH DNC VIỆT NAM</t>
  </si>
  <si>
    <t>CÔNG TY TNHH THƯƠNG MẠI VÀ DỊCH VỤ XUẤT NHẬP KHẨU VICTORY</t>
  </si>
  <si>
    <t xml:space="preserve"> 0107239182</t>
  </si>
  <si>
    <t>Chưa rõ</t>
  </si>
  <si>
    <t xml:space="preserve"> 0106927820</t>
  </si>
  <si>
    <t xml:space="preserve"> CÔNG TY TNHH ĐẦU TƯ VÀ PHÁT TRIỂN VINAWINDOW</t>
  </si>
  <si>
    <t>Số 2, tổ 5 - Phường Hoàng Liệt - Quận Hoàng Mai - Hà Nội.</t>
  </si>
  <si>
    <t xml:space="preserve">CÔNG TY TNHH THƯƠNG MẠI HOÀNG DƯƠNG HÀ NỘI </t>
  </si>
  <si>
    <t>0101148193</t>
  </si>
  <si>
    <t>Số 16 Ngõ 53 đường Vũ Trọng Phụng - Phường Thanh Xuân Trung - Quận Thanh Xuân - Hà Nội.</t>
  </si>
  <si>
    <t>CÔNG TY CỔ PHẦN PHÁT TRIỂN THƯƠNG MẠI HÀ VY</t>
  </si>
  <si>
    <t>0107879584</t>
  </si>
  <si>
    <t xml:space="preserve"> Số 136 Biên Giang - Phường Biên Giang - Quận Hà Đông - Hà Nội.</t>
  </si>
  <si>
    <t>CÔNG TY TNHH CARCARE HC</t>
  </si>
  <si>
    <t>0107551271</t>
  </si>
  <si>
    <t>Số 28, ngõ 161 Ngọc Hồi - Phường Hoàng Liệt - Quận Hoàng Mai - Hà Nội.</t>
  </si>
  <si>
    <t xml:space="preserve"> TRƯỜNG TRUNG CẤP Y DƯỢC LÊ HỮU TRÁC</t>
  </si>
  <si>
    <t>282A đường Kim Giang, p.Đại Kim - Phường Đại Kim - Quận Hoàng Mai - Hà Nội.</t>
  </si>
  <si>
    <t>0103671553</t>
  </si>
  <si>
    <t xml:space="preserve"> CÔNG TY CỔ PHẦN THƯƠNG MẠI DỊCH VỤ XUẤT NHẬP KHẨU Z-AUTO</t>
  </si>
  <si>
    <t>Ki ốt 5, Nơ 5, khu đô thị Pháp vân - Tứ Hiệp - Phường Hoàng Liệt - Quận Hoàng Mai - Hà Nội.</t>
  </si>
  <si>
    <t>0105136777</t>
  </si>
  <si>
    <t>DOANH NGHIỆP TƯ NHÂN THƯƠNG MẠI NGỌC LAN</t>
  </si>
  <si>
    <t>Cụm 1, Phường Yên Sở - - Quận Hoàng Mai - Hà Nội.</t>
  </si>
  <si>
    <t>0101379666</t>
  </si>
  <si>
    <t>0108129400</t>
  </si>
  <si>
    <t>CÔNG TY TNHH TRUYỀN THÔNG VÀ SỰ KIỆN V8</t>
  </si>
  <si>
    <t>Số nhà 45, Lô F2, Khu đô thị mới Đại Kim - Phường Đại Kim - Quận Hoàng Mai - Hà Nội.</t>
  </si>
  <si>
    <t>CÔNG TY TNHH THIẾT BỊ MINH HÀ</t>
  </si>
  <si>
    <t>Số 41 Phố Linh Lang - Phường Cống Vị - Quận Ba Đình - Hà Nội.</t>
  </si>
  <si>
    <t>0107975827</t>
  </si>
  <si>
    <t>CÔNG TY CỔ PHẦN PHÁT TRIỂN THIẾT BỊ Y TẾ VIỆT NAM</t>
  </si>
  <si>
    <t>Số 15, ngõ 44, phố Phúc Xá - Phường Phúc Xá - Quận Ba Đình - Hà Nội.</t>
  </si>
  <si>
    <t>0107776412</t>
  </si>
  <si>
    <t xml:space="preserve"> CÔNG TY CỔ PHẦN ĐẦU TƯ DỊCH VỤ CỬA CAO CẤP CHÂU ÂU</t>
  </si>
  <si>
    <t xml:space="preserve"> 0106650664</t>
  </si>
  <si>
    <t>Số 94 Nguyễn Chính - Phường Thịnh Liệt - Quận Hoàng Mai - Hà Nội.</t>
  </si>
  <si>
    <t>0108218611</t>
  </si>
  <si>
    <t>CÔNG TY TNHH DỊCH VỤ THƯƠNG MẠI MINH ĐỨC VIỆT NAM</t>
  </si>
  <si>
    <t>Số 10 ngõ 402/7 đường Mỹ Đình - Phường Mỹ Đình 1 - Quận Nam Từ Liêm - Hà Nội.</t>
  </si>
  <si>
    <t>CÔNG TY TNHH MAHANAIM GLOBAL BUSINESS</t>
  </si>
  <si>
    <t xml:space="preserve"> 0107963444</t>
  </si>
  <si>
    <t xml:space="preserve"> CÔNG TY TNHH TỔ CHỨC SỰ KIỆN VÀ DỊCH VỤ TIỆC AN BÌNH</t>
  </si>
  <si>
    <t>số 22,ngõ 25, đường Quang Tiến - Phường Đại Mỗ - Quận Nam Từ Liêm - Hà Nội.</t>
  </si>
  <si>
    <t>0108080201</t>
  </si>
  <si>
    <t xml:space="preserve">Số 14, ngách 27, ngõ 350, đường Kim Giang - Phường Đại Kim - Quận Hoàng Mai - Hà Nội.
</t>
  </si>
  <si>
    <t>0107864771</t>
  </si>
  <si>
    <t>07/07/2020
Chuyển 16.08</t>
  </si>
  <si>
    <t>09/07/2020
Chuyển 16.8</t>
  </si>
  <si>
    <t>CÔNG TY TNHH TASOMI</t>
  </si>
  <si>
    <t>0107614394</t>
  </si>
  <si>
    <t>010805001</t>
  </si>
  <si>
    <t>CÔNG TY TNHH XÂY DỰNG CẤP THOÁT NƯỚC HACOWA VIỆT NAM</t>
  </si>
  <si>
    <t>0106803173</t>
  </si>
  <si>
    <t>CÔNG TY TNHH PHÁT TRIỂN CÔNG NGHỆ VÀ KỸ THUẬT DESITECH VIỆT NAM</t>
  </si>
  <si>
    <t xml:space="preserve"> CÔNG TY TNHH ĐẦU TƯ VÀ DỊCH VỤ BẤT ĐỘNG SẢN TIÊU CHUẨN TOÀN CẦU</t>
  </si>
  <si>
    <t>0105344985</t>
  </si>
  <si>
    <t>ĐT 0989326226</t>
  </si>
  <si>
    <t>0106870187</t>
  </si>
  <si>
    <t>Trang Xây dựng</t>
  </si>
  <si>
    <t>CÔNG TY TNHH MAN VIỆT NAM</t>
  </si>
  <si>
    <t>0106847445</t>
  </si>
  <si>
    <t>Nguyễn Phi</t>
  </si>
  <si>
    <t>CÔNG TY CỔ PHẦN ĐẦU TƯ TAKA VIỆT NAM</t>
  </si>
  <si>
    <t>Phương Chi VNJ</t>
  </si>
  <si>
    <t>eINVOICE1-eI500</t>
  </si>
  <si>
    <t>0107542767</t>
  </si>
  <si>
    <t>CÔNG TY CỔ PHẦN DƯỢC PHẨM NEWPHAR USA</t>
  </si>
  <si>
    <t>CÔNG TY TNHH HỖ TRỢ GIÁO DỤC PHƯƠNG THẢO</t>
  </si>
  <si>
    <t>0106015581</t>
  </si>
  <si>
    <t>0108475961</t>
  </si>
  <si>
    <t>CÔNG TY CỔ PHẦN DƯỢC PHẨM TRE VIỆT</t>
  </si>
  <si>
    <t>Đt thì e để số 0963639726</t>
  </si>
  <si>
    <t>CÔNG TY TNHH CÔNG NGHỆ VẬT LIỆU XÂY DỰNG PHƯƠNG BẮC</t>
  </si>
  <si>
    <t>0104132392</t>
  </si>
  <si>
    <t>Số 98 Nguyễn Thái Học - Phường Điện Biên - Quận Ba Đình - Hà Nội.</t>
  </si>
  <si>
    <t>0946388966 CHị Trang</t>
  </si>
  <si>
    <t>kris.trang88@gmail.com</t>
  </si>
  <si>
    <t>CÔNG TY TNHH DỮ LIỆU QUỐC GIA VIỆT NAM</t>
  </si>
  <si>
    <t xml:space="preserve"> 0108323905</t>
  </si>
  <si>
    <t>Tầng 5, TTTM Vân Hồ, số 51 Lê Đại Hành - Phường Lê Đại Hành - Quận Hai Bà Trưng - Hà Nội.</t>
  </si>
  <si>
    <t>CÔNG TY CỔ PHẦN ĐẦU TƯ THƯƠNG MẠI VÀ XÂY DỰNG THÁI BÌNH DƯƠNG</t>
  </si>
  <si>
    <t>0105777308</t>
  </si>
  <si>
    <t>Số 61E, La Thành - Phường Láng Thượng - Quận Đống đa - Hà Nội.</t>
  </si>
  <si>
    <t>CÔNG TY CỔ PHẦN ĐÔNG DƯỢC HÀ NỘI CQB - CHI NHÁNH BẮC NINH</t>
  </si>
  <si>
    <t xml:space="preserve"> 0107532896-001</t>
  </si>
  <si>
    <t>Chị Bích Hợp - Nhiều Cty
0985142668</t>
  </si>
  <si>
    <t>Khu phố Long Vỹ (Thuê đất của UBND phường Đình Bảng) - Phường Đình Bảng - Thị xã Từ Sơn - Bắc Ninh.</t>
  </si>
  <si>
    <t>Đã tt 1,7tr cho Long</t>
  </si>
  <si>
    <t>TÊN CÔNG TY:  CÔNG TY SẢN XUẤT VÀ DỊCH VỤ THƯƠNG MẠI NGŨ MINH HƯNG - ( TNHH)</t>
  </si>
  <si>
    <t>Thôn Khương Tự, Xã Thanh Khương, Huyện Thuận Thành, Bắc Ninh</t>
  </si>
  <si>
    <t>2300277493</t>
  </si>
  <si>
    <t>Chị Ánh
Điện thoại: 0943626207</t>
  </si>
  <si>
    <t>Chị Trang 0982554483</t>
  </si>
  <si>
    <t>CÔNG TY CỔ PHẦN SẢN XUẤT BAO BÌ MINH AN</t>
  </si>
  <si>
    <t xml:space="preserve">0109306620 </t>
  </si>
  <si>
    <t>Số 41 Ngõ 5, đường Trường Chinh - Phường Phương Liệt - Quận Thanh Xuân - Hà Nội.</t>
  </si>
  <si>
    <t xml:space="preserve"> CÔNG TY TNHH TMDV THÁI HƯNG</t>
  </si>
  <si>
    <t>0109294407</t>
  </si>
  <si>
    <t>Số 41, Ngách 445/45, Ngõ 445 Đường Lạc Long Quân, - Phường Xuân La - Quận Tây Hồ - Hà Nội.</t>
  </si>
  <si>
    <t>Chị Ngọc 0912347773</t>
  </si>
  <si>
    <t xml:space="preserve"> CHI NHÁNH CÔNG TY CỔ PHẦN SAIGON FUTURES</t>
  </si>
  <si>
    <t>0315173341-003</t>
  </si>
  <si>
    <t>Tầng 3, Tòa Nhà STS, Số 11B Hòa Bình - Phường Tân An - Quận Ninh Kiều - Cần Thơ.</t>
  </si>
  <si>
    <t xml:space="preserve">0985652612 </t>
  </si>
  <si>
    <t xml:space="preserve">DOANH NGHIỆP TƯ NHÂN NƯỚC KHOÁNG THÁC MƠ </t>
  </si>
  <si>
    <t>5701308680</t>
  </si>
  <si>
    <t xml:space="preserve">Khu phố Lâm Sinh 1 - Phường Minh Thành - Thị xã Quảng Yên - Quảng Ninh. </t>
  </si>
  <si>
    <t xml:space="preserve"> Chị Thảo 
Điện thoại : 0399256408  </t>
  </si>
  <si>
    <t xml:space="preserve">Email : Thaonguyenhp2@gmail.com </t>
  </si>
  <si>
    <t>CHI NHÁNH CÔNG TY CỔ PHẦN HÒA VIỆT TẠI GIA LAI</t>
  </si>
  <si>
    <t>Thôn Thắng Lợi - Xã Phú Cần - Huyện Krông Pa - Gia Lai.</t>
  </si>
  <si>
    <t>CÔNG TY CỔ PHẦN PHÁT TRIỂN NGUỒN LỰC ĐẤT VIỆT</t>
  </si>
  <si>
    <t>Số 8B1 Tân Mai - Phường Tân Mai - Quận Hoàng Mai - Hà Nội.</t>
  </si>
  <si>
    <t>0105883948</t>
  </si>
  <si>
    <t>CÔNG TY LUẬT HỢP DANH ANH VŨ</t>
  </si>
  <si>
    <t xml:space="preserve"> 0102023084</t>
  </si>
  <si>
    <t>Tầng 4, số 12A ngõ Bà Triệu - Phường Lê Đại Hành - Quận Hai Bà Trưng - Hà Nội.</t>
  </si>
  <si>
    <t>Nguyễn Kim ÁNh
Đt : 0989152086</t>
  </si>
  <si>
    <t>CÔNG TY CỔ PHẦN HOA NAM</t>
  </si>
  <si>
    <t>Xóm 1 - Xã Mỹ Tân - Huyện Mỹ Lộc - Nam Định.</t>
  </si>
  <si>
    <t>0600337164</t>
  </si>
  <si>
    <t>CÔNG TY TNHH GIẢI PHÁP TIẾP THỊ ĐA PHƯƠNG TIỆN</t>
  </si>
  <si>
    <t>0106308595</t>
  </si>
  <si>
    <t>Số nhà 320, đường Thái Hà - Phường Trung Liệt - Quận Đống đa - Hà Nội.</t>
  </si>
  <si>
    <t>CÔNG TY TNHH SẢN XUẤT THƯƠNG MẠI KIM THÀNH HƯNG</t>
  </si>
  <si>
    <t>Lô 01-HC9, đường số 5, khu công nghiệp Xuyên á - Xã Mỹ Hạnh Bắc - Huyện Đức Hoà - Long An.</t>
  </si>
  <si>
    <t>1100785995</t>
  </si>
  <si>
    <t>0962069850 - Người LH: Chị Thư</t>
  </si>
  <si>
    <t xml:space="preserve"> CÔNG TY TNHH THIẾT BỊ KHAI THÁC HẦM MỎ</t>
  </si>
  <si>
    <t>5700437073</t>
  </si>
  <si>
    <t>Tân Mai - Phường Đông Mai - Thị xã Quảng Yên - Quảng Ninh.</t>
  </si>
  <si>
    <t>0343627689 Chị Hiền</t>
  </si>
  <si>
    <t>Ck khách 507300</t>
  </si>
  <si>
    <t>CÔNG TY TNHH CÔNG NGHỆ RỒNG VIỆT</t>
  </si>
  <si>
    <t xml:space="preserve"> 0101619910</t>
  </si>
  <si>
    <t>Số 146, đường K2, tổ 15 - Phường Cầu Diễn - Quận Nam Từ Liêm - Hà Nội.</t>
  </si>
  <si>
    <t xml:space="preserve"> CÔNG TY TNHH DỊCH VỤ TƯ VẤN PHÚC AN</t>
  </si>
  <si>
    <t>NV 5.13 khu chức năng đô thị Tây Mỗ - Phường Đại Mỗ - Quận Nam Từ Liêm - Hà Nội.</t>
  </si>
  <si>
    <t>0107395181</t>
  </si>
  <si>
    <t>CÔNG TY TNHH SẢN XUẤT VÀ ĐẦU TƯ XÂY DỰNG NAM THÀNH CÔNG</t>
  </si>
  <si>
    <t>0107397975</t>
  </si>
  <si>
    <t>Số 15, ngõ 276, phố Đại Từ - Phường Đại Kim - Quận Hoàng Mai - Hà Nội.</t>
  </si>
  <si>
    <t>A Nam 0912482410</t>
  </si>
  <si>
    <t>hainam7980@gmail.com</t>
  </si>
  <si>
    <t>CÔNG TY TNHH TẤM CÁCH NHIỆT VÀ XÂY DỰNG THÀNH ĐẠT</t>
  </si>
  <si>
    <t>0108211976</t>
  </si>
  <si>
    <t>096223448</t>
  </si>
  <si>
    <t>tranhuyen1407@gmail.com</t>
  </si>
  <si>
    <t>Số nhà 11 ngách 21 ngõ 595 đường Lĩnh Nam - Phường Lĩnh Nam - Quận Hoàng Mai - Hà Nội.</t>
  </si>
  <si>
    <t>điện thoại: 0973226283</t>
  </si>
  <si>
    <t>memory2206@gmail.com</t>
  </si>
  <si>
    <t>CÔNG TY CỔ PHẦN CÔNG NGHỆ CƠ ĐIỆN ALPHA VINA</t>
  </si>
  <si>
    <t xml:space="preserve"> 0108218837</t>
  </si>
  <si>
    <t>Thanh bạn chị Thúy kế toán</t>
  </si>
  <si>
    <t>Xóm 14, Thôn Hậu ái - Xã Vân Canh - Huyện Hoài Đức - Hà Nội.</t>
  </si>
  <si>
    <t>0500593527</t>
  </si>
  <si>
    <t>CÔNG TY CỔ PHẦN THIẾT KẾ VÀ XÂY DỰNG HÀ PHÚ</t>
  </si>
  <si>
    <t>Số 6 ngách 185 ngõ 42 Thịnh Liệt - Phường Thịnh Liệt - Quận Hoàng Mai - Hà Nội.</t>
  </si>
  <si>
    <t>0904964755</t>
  </si>
  <si>
    <t>CÔNG TY CỔ PHẦN ĐẦU TƯ XÂY DỰNG VÀ PHÒNG CHÁY CHỮA CHÁY HÀ THÀNH</t>
  </si>
  <si>
    <t>Số 2, lô X2 phố Trần Quý Kiên - Phường Dịch Vọng - Quận Cầu Giấy - Hà Nội.</t>
  </si>
  <si>
    <t xml:space="preserve"> 0107791869</t>
  </si>
  <si>
    <t>CÔNG TY CỔ PHẦN IN QUỐC GIA</t>
  </si>
  <si>
    <t>Dung</t>
  </si>
  <si>
    <t>0102625681</t>
  </si>
  <si>
    <t xml:space="preserve"> Số 161 tổ 12 phường NGọc Hà - Phường Ngọc Hà - Quận Ba Đình - Hà Nội.</t>
  </si>
  <si>
    <t>093 6184248</t>
  </si>
  <si>
    <t>free50</t>
  </si>
  <si>
    <t>CÔNG TY TNHH THƯƠNG MẠI VÀ ĐẦU TƯ UYÊN NHI</t>
  </si>
  <si>
    <t>Tổ 4 Bằng B - Phường Hoàng Liệt - Quận Hoàng Mai - Hà Nội.</t>
  </si>
  <si>
    <t>0107860495</t>
  </si>
  <si>
    <t>Đã TT Nacencomm 800K</t>
  </si>
  <si>
    <t>14/08/2020 FT20227103345375\BNK 10321656622015 MBVCB.732970648.036610.uyennhi tt h oa don dien tu.CT tu 0491000085949 NGUYEN THI BAY toi 10321656622  800,000</t>
  </si>
  <si>
    <t>CÔNG TY TNHH THƯƠNG MẠI VÀ SẢN XUẤT NHỰA HOÀNG MINH</t>
  </si>
  <si>
    <t>0107784886</t>
  </si>
  <si>
    <t>Nhà số 3, ngách 168/26/2 đường Kim Giang - Phường Đại Kim - Quận Hoàng Mai - Hà Nội.</t>
  </si>
  <si>
    <t>0989149193</t>
  </si>
  <si>
    <t xml:space="preserve"> CÔNG TY CỔ PHẦN NTK VIỆT NAM</t>
  </si>
  <si>
    <t>Số 28 Nguyễn Hữu Thọ - Phường Hoàng Liệt - Quận Hoàng Mai - Hà Nội.</t>
  </si>
  <si>
    <t xml:space="preserve"> 0106749208</t>
  </si>
  <si>
    <t>tranhoa2305@gmail.com</t>
  </si>
  <si>
    <t>Sđt 093 8339383 - 077 3833383</t>
  </si>
  <si>
    <t>eINVOICE8-eI100</t>
  </si>
  <si>
    <t>Đã chuyển khoản Long</t>
  </si>
  <si>
    <t xml:space="preserve"> CÔNG TY CỔ PHẦN TƯ VẤN ĐẦU TƯ VÀ XÂY DỰNG SAO MAI</t>
  </si>
  <si>
    <t>Số 2, ngách 379/8, phố Đội Cấn - Phường Liễu Giai - Quận Ba Đình - Hà Nội.</t>
  </si>
  <si>
    <t>0102380671</t>
  </si>
  <si>
    <t>CÔNG TY TNHH VNSI VIỆT NAM</t>
  </si>
  <si>
    <t>Số 174, đường Nguyễn Tuân - Phường Nhân Chính - Quận Thanh Xuân - Hà Nội.</t>
  </si>
  <si>
    <t>0106171291</t>
  </si>
  <si>
    <t>0974833164</t>
  </si>
  <si>
    <t>CÔNG TY TNHH DỊCH THUẬT BÁCH KHOA HÀ NỘI</t>
  </si>
  <si>
    <t>chi hong : 0947939391</t>
  </si>
  <si>
    <t>Số 26B, tổ 25A, ngõ 282/22, đường Kim Giang - Phường Đại Kim - Quận Hoàng Mai - Hà Nội.</t>
  </si>
  <si>
    <t>0104597285</t>
  </si>
  <si>
    <t>CÔNG TY CỔ PHẦN QUẢN LÝ ĐẦU TƯ DTH</t>
  </si>
  <si>
    <t>Tầng 5, số 15, Lô B, Khu đô thị mới Đại Kim - Phường Đại Kim - Quận Hoàng Mai - Hà Nội.</t>
  </si>
  <si>
    <t xml:space="preserve"> 0105665611</t>
  </si>
  <si>
    <t>Nguyen.trang.dth@gmail.com</t>
  </si>
  <si>
    <t>CÔNG TY CỔ PHẦN THƯƠNG MẠI DỊCH VỤ KỸ THUẬT CMC</t>
  </si>
  <si>
    <t>Tổ 3, Hội Xá - Phường Phúc Lợi - Quận Long Biên - Hà Nội.</t>
  </si>
  <si>
    <t xml:space="preserve"> 0102141264</t>
  </si>
  <si>
    <t>0964722425</t>
  </si>
  <si>
    <t xml:space="preserve"> CÔNG TY CỔ PHẦN QUỐC TẾ SAO THIÊN PHÚ</t>
  </si>
  <si>
    <t>Số 1, ngách 250/100, đường Kim Giang - Phường Đại Kim - Quận Hoàng Mai - Hà Nội.</t>
  </si>
  <si>
    <t>0107308453</t>
  </si>
  <si>
    <t>0903207428</t>
  </si>
  <si>
    <t>CÔNG TY CỔ PHẦN SƠN NAVY</t>
  </si>
  <si>
    <t>Số nhà 32, lô D2, khu đô thị Đại Kim - Phường Đại Kim - Quận Hoàng Mai - Hà Nội.</t>
  </si>
  <si>
    <t>0107934443</t>
  </si>
  <si>
    <t>CÔNG TY TNHH PHÁT TRIỂN THÀNH CÔNG VIỆT NAM</t>
  </si>
  <si>
    <t>Số 8/260/44, phố Tân Mai, tổ 41 - Phường Thịnh Liệt - Quận Hoàng Mai - Hà Nội.</t>
  </si>
  <si>
    <t>0107734162</t>
  </si>
  <si>
    <t xml:space="preserve"> CÔNG TY TNHH THƯƠNG MẠI DỊCH VỤ VÀ NỘI THẤT HƯNG THỊNH</t>
  </si>
  <si>
    <t xml:space="preserve"> 0105781086</t>
  </si>
  <si>
    <t>Số 19D, ngõ 250/39/50, đường Kim Giang - Phường Đại Kim - Quận Hoàng Mai - Hà Nội.</t>
  </si>
  <si>
    <t>CÔNG TY CỔ PHẦN CÔNG NGHỆ Y HỌC MEDICOM</t>
  </si>
  <si>
    <t>Số 24, phố Liễu Giai - Phường Cống Vị - Quận Ba Đình - Hà Nội.</t>
  </si>
  <si>
    <t>0106791827</t>
  </si>
  <si>
    <t>0101737505</t>
  </si>
  <si>
    <t>Chị Huyền Hoàng Mai</t>
  </si>
  <si>
    <t xml:space="preserve"> CÔNG TY TNHH TƯ VẤN ĐẦU TƯ VÀ THƯƠNG MẠI PACO</t>
  </si>
  <si>
    <t>Tổ 23 - Phường Đại Kim - Quận Hoàng Mai - Hà Nội.</t>
  </si>
  <si>
    <t xml:space="preserve"> CÔNG TY TNHH SẢN XUẤT THƯƠNG MẠI DỊCH VỤ PHONG MINH</t>
  </si>
  <si>
    <t>8/6J ấp Mỹ Hòa 4 - Xã Xuân Thới Đông - Huyện Hóc Môn - TP Hồ Chí Minh.</t>
  </si>
  <si>
    <t>Hóc môn</t>
  </si>
  <si>
    <t xml:space="preserve"> 0312126833</t>
  </si>
  <si>
    <t>12/08/2020 FT20225076494406\BNK 10321656622015 Phong minh 0312126833 Quang Hiep an h 0305388274  2,350,000</t>
  </si>
  <si>
    <t>CTY TNHH THƯƠNG MẠI QUANG HIỆP ANH</t>
  </si>
  <si>
    <t>0305388274</t>
  </si>
  <si>
    <t>54/32/6 Tân Chánh Hiệp 07 KP.4A - phường Tân Chánh Hiệp - Quận 12 - TP Hồ Chí Minh.</t>
  </si>
  <si>
    <t>CÔNG TY TNHH THƯƠNG MẠI DỊCH VỤ VÀ TỔNG HỢP TÂN VIỆT HƯNG</t>
  </si>
  <si>
    <t>Số 16, Ngõ 139 đường Mỹ Đình 1 - Phường Mỹ Đình 1 - Quận Nam Từ Liêm - Hà Nội.</t>
  </si>
  <si>
    <t>CÔNG TY TNHH TƯ VẤN VÀ ĐẦU TƯ T &amp; M HÀ NỘI</t>
  </si>
  <si>
    <t>Tầng 1, số 16 đường Phạm Hùng - Phường Mỹ Đình 2 - Quận Nam Từ Liêm - Hà Nội.</t>
  </si>
  <si>
    <t>0108165656</t>
  </si>
  <si>
    <t>0106002938</t>
  </si>
  <si>
    <t>CÔNG TY CỔ PHẦN VIỄN THÔNG PTT HÀ NỘI</t>
  </si>
  <si>
    <t>Yến</t>
  </si>
  <si>
    <t>Số nhà 1, ngách 94/1141 Giải Phóng - Phường Thịnh Liệt - Quận Hoàng Mai - Hà Nội.</t>
  </si>
  <si>
    <t>CÔNG TY TNHH XÂY DỰNG MẠNH HÙNG GIA LÂM</t>
  </si>
  <si>
    <t>0108072835</t>
  </si>
  <si>
    <t>hôn Dương Đá - Xã Dương Xá - Huyện Gia Lâm - Hà Nội.</t>
  </si>
  <si>
    <t>0101818112</t>
  </si>
  <si>
    <t>Thôn Phú Thuỵ - Xã Phú Thị - Huyện Gia Lâm - Hà Nội.</t>
  </si>
  <si>
    <t>CÔNG TY TNHH THÁI LAN</t>
  </si>
  <si>
    <t xml:space="preserve"> CÔNG TY CỔ PHẦN ĐẦU TƯ PTH HÀ NỘI</t>
  </si>
  <si>
    <t>Tầng 03, số 56 ngõ 102 đường Trường Chinh - Phường Phương Mai - Quận Đống đa - Hà Nội.</t>
  </si>
  <si>
    <t>0107461902</t>
  </si>
  <si>
    <t>CÔNG TY CỔ PHẦN CÔNG TRÌNH NGẦM HƯNG THỊNH</t>
  </si>
  <si>
    <t>Nguyenhueftd@gmail.com</t>
  </si>
  <si>
    <t>Số 20, ngách 168/85 Kim Giang - Phường Đại Kim - Quận Hoàng Mai - Hà Nội.</t>
  </si>
  <si>
    <t xml:space="preserve"> 0107926611</t>
  </si>
  <si>
    <t>CÔNG TY TNHH CÔNG NGHỆ GIÁO DỤC PTI</t>
  </si>
  <si>
    <t>P1301, tầng 13, tháp B, tòa nhà Sông Đà, đường Phạm Hùng - Phường Mỹ Đình 1 - Quận Nam Từ Liêm - Hà Nội.</t>
  </si>
  <si>
    <t xml:space="preserve"> 0107838700</t>
  </si>
  <si>
    <t>CÔNG TY CỔ PHẦN ĐẦU TƯ VÀ PHÁT TRIỂN HT HÀ NỘI</t>
  </si>
  <si>
    <t>Số 639, đường Tam Trinh - Phường Yên Sở - Quận Hoàng Mai - Hà Nội.</t>
  </si>
  <si>
    <t>0106800172</t>
  </si>
  <si>
    <t>CÔNG TY TNHH ROSY BELLE VIỆT NAM - CHI NHÁNH THÁI BÌNH</t>
  </si>
  <si>
    <t>Nhà ông Hà, thôn An Lễ - Xã Đông Mỹ - Thành phố Thái Bình - Thái Bình.</t>
  </si>
  <si>
    <t>0106490202-001</t>
  </si>
  <si>
    <t>0903.458.467</t>
  </si>
  <si>
    <t>CÔNG TY TNHH ROSY BELLE VIỆT NAM</t>
  </si>
  <si>
    <t xml:space="preserve">Số 24 + 26, tổ 12 - Phường Hoàng Liệt - Quận Hoàng Mai - Hà Nội.
</t>
  </si>
  <si>
    <t xml:space="preserve"> 0106490202</t>
  </si>
  <si>
    <t>CÔNG TY TNHH VẬT LIỆU ĐIỆN MINH PHÚC</t>
  </si>
  <si>
    <t>Lô 02-8B Khu công nghiệp quận Hoàng Mai, 435A đường Tam Trin - Phường Hoàng Văn Thụ - Quận Hoàng Mai - Hà Nội.</t>
  </si>
  <si>
    <t>0101172090</t>
  </si>
  <si>
    <t>CÔNG TY TNHH XÂY DỰNG NĂNG LƯỢNG VÀ THIẾT BỊ CÔNG NGHỆ SÔNG ĐÀ</t>
  </si>
  <si>
    <t>Số nhà 50, ngõ 141, phố Giáp Nhị - Phường Thịnh Liệt - Quận Hoàng Mai - Hà Nội.</t>
  </si>
  <si>
    <t xml:space="preserve"> CÔNG TY TNHH MỘT THÀNH VIÊN GIẢI PHÁP CÔNG NGHỆ TRUYỀN THÔNG VTC</t>
  </si>
  <si>
    <t>65 phố Lạc Trung - Phường Vĩnh Tuy - Quận Hai Bà Trưng - Hà Nội.</t>
  </si>
  <si>
    <t>0915149924</t>
  </si>
  <si>
    <t xml:space="preserve"> 0102226239</t>
  </si>
  <si>
    <t>0101820249</t>
  </si>
  <si>
    <t xml:space="preserve"> CÔNG TY CỔ PHẦN QUẢN LÝ VÀ ĐẦU TƯ BẤT ĐỘNG SẢN ĐẠI VIỆT</t>
  </si>
  <si>
    <t>Số 15, lô B, khu đô thị mới Đại Kim - Phường Đại Kim - Quận Hoàng Mai - Hà Nội.</t>
  </si>
  <si>
    <t>0106862034</t>
  </si>
  <si>
    <t>0104952275</t>
  </si>
  <si>
    <t>Tầng 25, Tòa nhà ICON4, Số 243A Đê La Thành - Phường Láng Thượng - Quận Đống đa - Hà Nội.</t>
  </si>
  <si>
    <t>tt Long 480K</t>
  </si>
  <si>
    <t xml:space="preserve"> 0104253157</t>
  </si>
  <si>
    <t>CÔNG TY CỔ PHẦN XÂY DỰNG BẢO TRÂM</t>
  </si>
  <si>
    <t>Số 41, ngõ Đám Mạ, xóm 8A - Phường Cổ Nhuế 2 - Quận Bắc Từ Liêm - Hà Nội.</t>
  </si>
  <si>
    <t xml:space="preserve"> 0106885497</t>
  </si>
  <si>
    <t>CÔNG TY CỔ PHẦN ĐẦU TƯ XÂY DỰNG CHÂU MINH</t>
  </si>
  <si>
    <t xml:space="preserve">Số 26, ngõ 328/42 Lê Trọng Tấn - Phường Định Công - Quận Hoàng Mai - Hà Nội.
</t>
  </si>
  <si>
    <t xml:space="preserve"> CÔNG TY CỔ PHẦN KIẾN TRÚC NỘI THẤT KIM HOÀNG ANH</t>
  </si>
  <si>
    <t>Số 2, ngõ 120/22/11, đường Kim Giang - Phường Đại Kim - Quận Hoàng Mai - Hà Nội.</t>
  </si>
  <si>
    <t>0102371902</t>
  </si>
  <si>
    <t>Kimhoanganh2009@gmail.com</t>
  </si>
  <si>
    <t>CÔNG TY CỔ PHẦN CAFÉ NOSAN</t>
  </si>
  <si>
    <t>Số 6, ngõ 38 Thịnh Liệt - Phường Thịnh Liệt - Quận Hoàng Mai - Hà Nội.</t>
  </si>
  <si>
    <t>0107976669</t>
  </si>
  <si>
    <t>13/08/2020 FT20226802903559\BNK 10321656622015 CMC thanh toan tien 600 hoa don die n tu  800,000</t>
  </si>
  <si>
    <t>CÔNG TY CỔ PHẦN XÂY DỰNG VÀ LẮP MÁY 816</t>
  </si>
  <si>
    <t>2700822880</t>
  </si>
  <si>
    <t>Chị Yến kế toán 0904331689</t>
  </si>
  <si>
    <t>Yennhi2807@gmail.com</t>
  </si>
  <si>
    <t xml:space="preserve"> CÔNG TY CỔ PHẦN XÂY LẮP VÀ BẢO DƯỠNG CƠ ĐIỆN VNK</t>
  </si>
  <si>
    <t>5Q13, ngõ 126 Nguyễn An Ninh - Phường Tương Mai - Quận Hoàng Mai - Hà Nội.</t>
  </si>
  <si>
    <t>0102952047</t>
  </si>
  <si>
    <t>Nguyễn Lan: 0975774972</t>
  </si>
  <si>
    <t>CÔNG TY CỔ PHẦN THIẾT BỊ CÔNG NGHIỆP KINOMORI</t>
  </si>
  <si>
    <t>Số 36, ngõ 36 đường Khuyến Lương - Phường Trần Phú - Quận Hoàng Mai - Hà Nội.</t>
  </si>
  <si>
    <t xml:space="preserve"> 0107932340</t>
  </si>
  <si>
    <t xml:space="preserve">Chị Ánh Hương Việt: </t>
  </si>
  <si>
    <t>CÔNG TY CỔ PHẦN TRUYỀN THÔNG TRƯỜNG SA</t>
  </si>
  <si>
    <t>Số nhà 03 Ngõ 168 Nguyễn Đổng Chi - Phường Cầu Diễn - Quận Nam Từ Liêm - Hà Nội.</t>
  </si>
  <si>
    <t>0106654877</t>
  </si>
  <si>
    <t>CÔNG TY TNHH ĐẦU TƯ THƯƠNG MẠI VÀ DỊCH VỤ VIỄN THÔNG VINH PHÁT</t>
  </si>
  <si>
    <t>Số 3 - N3 -TT5 Khu Bắc Linh Đàm - Phường Đại Kim - Quận Hoàng Mai - Hà Nội.</t>
  </si>
  <si>
    <t>0107980986</t>
  </si>
  <si>
    <t xml:space="preserve"> CÔNG TY TNHH CƠ KHÍ VÀ DỊCH VỤ QUỐC ĐẠT</t>
  </si>
  <si>
    <t>Số nhà 11 ngõ 97 đường Nguyễn Trãi, - Phường Thượng Đình - Quận Thanh Xuân - Hà Nội.</t>
  </si>
  <si>
    <t>0102261787</t>
  </si>
  <si>
    <t>CÔNG TY TNHH HAMICO VIỆT NAM</t>
  </si>
  <si>
    <t>Số 26, ngõ 1A Phố Nhân Hòa - Phường Nhân Chính - Quận Thanh Xuân - Hà Nội.</t>
  </si>
  <si>
    <t>0106325488</t>
  </si>
  <si>
    <t>Lê Lâm</t>
  </si>
  <si>
    <t>Đã TT Nacencomm 680K - trả lại ck cho khách</t>
  </si>
  <si>
    <t>CÔNG TY TNHH CÔNG NGHỆ &amp; GIẢI PHÁP HOÀNG GIA</t>
  </si>
  <si>
    <t>Hưng QN</t>
  </si>
  <si>
    <t>Quảng Ninh</t>
  </si>
  <si>
    <t>Sô 266B - 268B, đường Hùng Vương - Phường Ka Long - Thành phố Móng cái - Quảng Ninh.</t>
  </si>
  <si>
    <t>Đã TT cho Chúc</t>
  </si>
  <si>
    <t xml:space="preserve"> CÔNG TY TNHH PHÁT TRIỂN THƯƠNG MẠI VÀ DỊCH VỤ NAM QUANG</t>
  </si>
  <si>
    <t>0107322666</t>
  </si>
  <si>
    <t>Số 89, ngõ 521 Trương Định - Phường Tân Mai - Quận Hoàng Mai - Hà Nội.</t>
  </si>
  <si>
    <t>eINVOICE1-eI100</t>
  </si>
  <si>
    <t>CÔNG TY TNHH THƯƠNG MẠI VÀ TRUYỀN THÔNG UNION VIỆT NAM</t>
  </si>
  <si>
    <t>Số nhà 28 Ngõ 322/76/18, tổ 12 Nhân Mỹ - Phường Mỹ Đình 1 - Quận Nam Từ Liêm - Hà Nội.</t>
  </si>
  <si>
    <t>0106704535</t>
  </si>
  <si>
    <t xml:space="preserve"> 0105146207</t>
  </si>
  <si>
    <t xml:space="preserve"> CÔNG TY TRÁCH NHIỆM HỮU HẠN THƯƠNG MẠI MẠNH BÌNH MINH</t>
  </si>
  <si>
    <t>Số nhà 8 ngõ 94 phố Đại Từ - Phường Đại Kim - Quận Hoàng Mai - Hà Nội.</t>
  </si>
  <si>
    <t>CÔNG TY TNHH PALAN</t>
  </si>
  <si>
    <t>Tổ 15 - Phường Cầu Diễn - Quận Nam Từ Liêm - Hà Nội.</t>
  </si>
  <si>
    <t>0107734395</t>
  </si>
  <si>
    <t>CÔNG TY TNHH TRUYỀN THÔNG VÀ GIẢI TRÍ KPONYO</t>
  </si>
  <si>
    <t>Số nhà 3/ dẫy thấp tầng B, khu đô thị Bắc Linh Đàm, - Phường Đại Kim - Quận Hoàng Mai - Hà Nội.</t>
  </si>
  <si>
    <t>0108448340</t>
  </si>
  <si>
    <t>CÔNG TY TNHH DÂY VÀ CÁP ĐIỆN SANG JIN SEOUL</t>
  </si>
  <si>
    <t>Tầng 2 Nhà số 10, Biệt thự 2 Bắc Linh Đàm - Phường Đại Kim - Quận Hoàng Mai - Hà Nội.</t>
  </si>
  <si>
    <t>0108458878</t>
  </si>
  <si>
    <t>0913050451</t>
  </si>
  <si>
    <t>CÔNG TY TNHH THƯƠNG MẠI VÀ DỊCH VỤ SONG LINH VIỆT NAM</t>
  </si>
  <si>
    <t>Số 295, phố Vĩnh Hưng - Phường Vĩnh Hưng - Quận Hoàng Mai - Hà Nội.</t>
  </si>
  <si>
    <t>0104676498</t>
  </si>
  <si>
    <t xml:space="preserve"> CÔNG TY TNHH THƯƠNG MẠI VÀ DỊCH VỤ KỸ THUẬT SỐ ĐẠI DƯƠNG</t>
  </si>
  <si>
    <t>0104908935</t>
  </si>
  <si>
    <t>số 7 ngõ 1141 đường Giải Phóng ( đ/chỉ cũ:3 ngõ 1 Cầu Tiên ) - Phường Thịnh Liệt - Quận Hoàng Mai - Hà Nội.</t>
  </si>
  <si>
    <t>CÔNG TY CỔ PHẦN ĐIỆN TỬ TIN HỌC VIỄN THÔNG</t>
  </si>
  <si>
    <t>Số nhà 56 BT 2, khu Bắc Linh Đàm - Phường Đại Kim - Quận Hoàng Mai - Hà Nội.</t>
  </si>
  <si>
    <t>0101308383</t>
  </si>
  <si>
    <t>19/08/2020 FT20232043767705\BNK 10321656622015 Cong ty Cp Dien tu tin hoc vien tho ng .Mst 0101308383 thanh toan einvo ice  500,000</t>
  </si>
  <si>
    <t>CÔNG TY CỔ PHẦN HBA - GROUP</t>
  </si>
  <si>
    <t>Tổ 10 - Phường Yên Sở - Quận Hoàng Mai - Hà Nội.</t>
  </si>
  <si>
    <t>0102353117</t>
  </si>
  <si>
    <t>CÔNG TY CỔ PHẦN KIẾN TRÚC NỘI THẤT XÂY DỰNG GOODLAND</t>
  </si>
  <si>
    <t>Số 666 Đỗ Đức Dục - Phường Mễ Trì - Quận Nam Từ Liêm - Hà Nội.</t>
  </si>
  <si>
    <t>0106299132</t>
  </si>
  <si>
    <t>CÔNG TY TNHH DƯỢC MỸ PHẨM HANKO VIỆT NAM</t>
  </si>
  <si>
    <t>Số 15, ngõ 143/99 đường Xuân Phương - Phường Phương Canh - Quận Nam Từ Liêm - Hà Nội.</t>
  </si>
  <si>
    <t>0108400733</t>
  </si>
  <si>
    <t>CÔNG TY TNHH SẢN XUẤT VÀ THƯƠNG MẠI H&amp;C</t>
  </si>
  <si>
    <t>0500565858</t>
  </si>
  <si>
    <t>Thôn Lam Sơn - Xã Minh Cường - Huyện Thường Tín - Hà Nội.</t>
  </si>
  <si>
    <t xml:space="preserve"> CÔNG TY TNHH DÂY VÀ CÁP ĐIỆN HEE SUNG SEOUL</t>
  </si>
  <si>
    <t>Tầng 1, Nhà số 10, Biệt thự 2 Bắc Linh Đàm - Phường Đại Kim - Quận Hoàng Mai - Hà Nội.</t>
  </si>
  <si>
    <t>0108452072</t>
  </si>
  <si>
    <t>CÔNG TY TNHH HỮU SAN</t>
  </si>
  <si>
    <t>Số 2 hẻm 362/2/67 đường Giải Phóng - Phường Thịnh Liệt - Quận Hoàng Mai - Hà Nội.</t>
  </si>
  <si>
    <t>0103559488</t>
  </si>
  <si>
    <t xml:space="preserve"> CÔNG TY CỔ PHẦN IN QUỐC GIA</t>
  </si>
  <si>
    <t>Số 161 tổ 12 phường NGọc Hà - Phường Ngọc Hà - Quận Ba Đình - Hà Nội.</t>
  </si>
  <si>
    <t xml:space="preserve"> CÔNG TY TNHH THƯƠNG MẠI VÀ DỊCH VỤ VẬN TẢI NGỌC ÁNH</t>
  </si>
  <si>
    <t>Số nhà 62, ngõ 260 phố Tân Mai - Phường Thịnh Liệt - Quận Hoàng Mai - Hà Nội.</t>
  </si>
  <si>
    <t>0108535226</t>
  </si>
  <si>
    <t>CÔNG TY CỔ PHẦN PHÁT TRIỂN DỊCH VỤ VÀ THƯƠNG MẠI TIẾN THÀNH</t>
  </si>
  <si>
    <t>Số nhà 5, ngõ 25/76 phố Quang Tiến - Phường Đại Mỗ - Quận Nam Từ Liêm - Hà Nội.</t>
  </si>
  <si>
    <t>0106863581</t>
  </si>
  <si>
    <t>CÔNG TY CỔ PHẦN TƯ VẤN XÂY DỰNG VIỆT HÀ</t>
  </si>
  <si>
    <t xml:space="preserve">Số A37 khu Liên Cơ - Phường Cầu Diễn - Quận Nam Từ Liêm - Hà Nội.
</t>
  </si>
  <si>
    <t>0102050345</t>
  </si>
  <si>
    <t>24/08/2020 FT20237086790171\BNK 10321656622015 CTY MINH PHUC MST:0101172090 THANH TOAN TIEN PHAN MEM VA IN HOA DON DI EN TU  800,000</t>
  </si>
  <si>
    <t xml:space="preserve"> CÔNG TY TNHH THƯƠNG MẠI VÀ ĐẦU TƯ UYÊN NHI</t>
  </si>
  <si>
    <t>CÔNG TY TNHH ĐÀO TẠO ÂM NHẠC BM VIỆT NAM</t>
  </si>
  <si>
    <t>P605, tầng 6 Keangnam, Khu E6, Khu đô thị mới Cầu Giấy - Phường Mễ Trì - Quận Nam Từ Liêm - Hà Nội.</t>
  </si>
  <si>
    <t>0107099714</t>
  </si>
  <si>
    <t>CÔNG TY CỔ PHẦN THƯƠNG MẠI CHẤN CHI</t>
  </si>
  <si>
    <t>Số nhà 5 ngách 132 ngõ 72 đường Nguyễn Trãi, P.Thượng Đình - Phường Thượng Đình - Quận Thanh Xuân - Hà Nội.</t>
  </si>
  <si>
    <t xml:space="preserve"> 0101486989</t>
  </si>
  <si>
    <t xml:space="preserve"> CÔNG TY TNHH ĐẦU TƯ PHÁT TRIỂN VÀ SẢN XUẤT THƯƠNG MẠI GIA NGUYỄN</t>
  </si>
  <si>
    <t>Không rõ</t>
  </si>
  <si>
    <t>0106477191</t>
  </si>
  <si>
    <t>Số 41, tổ 8 Yên Duyên - Phường Yên Sở - Quận Hoàng Mai - Hà Nội.</t>
  </si>
  <si>
    <t>eINVOICE1-eI2000</t>
  </si>
  <si>
    <t xml:space="preserve"> CÔNG TY CỔ PHẦN ĐẦU TƯ XÂY DỰNG VÀ KHAI THÁC MỎ VIỆT BẮC</t>
  </si>
  <si>
    <t>B315 The Manor, Khu đô thị Mỹ Đình - Phường Mỹ Đình 1 - Quận Nam Từ Liêm - Hà Nội.</t>
  </si>
  <si>
    <t>0102623902</t>
  </si>
  <si>
    <t xml:space="preserve"> CÔNG TY CỔ PHẦN DỊCH VỤ VÀ THƯƠNG MẠI PHÚ HÀO</t>
  </si>
  <si>
    <t>Số 632, đường Trương Định - Phường Tân Mai - Quận Hoàng Mai - Hà Nội.</t>
  </si>
  <si>
    <t>24/08/2020 FT20237A06004316\XNV 10321656622015 (B/O NGUYEN THI DIEU MEN) TC:507836531.IBVCB.744085784.Cong ty Phu hao thanh toan hoa don 0015561.CT tu 0011001892457 toi 10321656622015 Cong ty co phan cong nghe the Nacencomm KY THUONG VN (TECHCOMBANK)  800,000</t>
  </si>
  <si>
    <t xml:space="preserve"> CÔNG TY CỔ PHẦN LYK VIỆT NAM</t>
  </si>
  <si>
    <t>Số 12/3 ngách 69, ngõ 521, đường Trương Định - Phường Tân Mai - Quận Hoàng Mai - Hà Nội.</t>
  </si>
  <si>
    <t xml:space="preserve"> 0108039115</t>
  </si>
  <si>
    <t>0107611072</t>
  </si>
  <si>
    <t>18/08/2020 FT20231764550457\BNK 10321656622015 a Khanh cty Lyk thanh toan  800,000</t>
  </si>
  <si>
    <t>CÔNG TY CỔ PHẦN TƯ VẤN VÀ XÂY DỰNG BDV HÀ NỘI</t>
  </si>
  <si>
    <t>Ngọc Thăng Long</t>
  </si>
  <si>
    <t>0109049405</t>
  </si>
  <si>
    <t>Số 705 DV15 Tổ 19 - Phường Kiến Hưng - Quận Hà Đông - Hà Nội.</t>
  </si>
  <si>
    <t>Ngọc Tài chính Thăng Long</t>
  </si>
  <si>
    <t>CK Nacencomm 560K</t>
  </si>
  <si>
    <t xml:space="preserve"> CÔNG TY TNHH XÂY DỰNG VẠN BẢO</t>
  </si>
  <si>
    <t>Tổ dân phố Tu Hoàng - Phường Phương Canh - Quận Nam Từ Liêm - Hà Nội.</t>
  </si>
  <si>
    <t>0106530857</t>
  </si>
  <si>
    <t>26/08/2020 FT20239647050651\NTD 10321656622015 Van Bao 0106530857 tt phi hoa don d ien tu  300,000</t>
  </si>
  <si>
    <t>CÔNG TY CỔ PHẦN CANZY VIỆT NAM</t>
  </si>
  <si>
    <t>Tầng 2, số 39 ngách 322/76 đường Mỹ Đình - Phường Mỹ Đình 1 - Quận Nam Từ Liêm - Hà Nội.</t>
  </si>
  <si>
    <t>0103941753</t>
  </si>
  <si>
    <t>eINVOICE1-eI10.000</t>
  </si>
  <si>
    <t>25/08/2020 FT20238110664719\VQN 10321656622015 MST 0103941753 TT HD 0015568  4,000,000</t>
  </si>
  <si>
    <t>CÔNG TY CỔ PHẦN QUỐC TẾ HÙNG DŨNG</t>
  </si>
  <si>
    <t xml:space="preserve"> Số 146, Thôn Thuận Tốn - Xã Đa Tốn - Huyện Gia Lâm - Hà Nội.</t>
  </si>
  <si>
    <t xml:space="preserve"> 0106338215</t>
  </si>
  <si>
    <t>Chị Huyền Hoàng Dương - Hùng Dũng</t>
  </si>
  <si>
    <t>Huyenntt@mik.vn</t>
  </si>
  <si>
    <t>CÔNG TY TNHH IN - THƯƠNG MẠI THUẬN PHÁT</t>
  </si>
  <si>
    <t>Thôn Yên Vĩnh - Xã Kim Chung - Huyện Hoài Đức - Hà Nội.</t>
  </si>
  <si>
    <t xml:space="preserve"> 0102746559</t>
  </si>
  <si>
    <t>eINVOICE1-eI1000</t>
  </si>
  <si>
    <t xml:space="preserve"> CÔNG TY CỔ PHẦN PHÁT TRIỂN CÔNG NGHIỆP MITEC HÀ NỘI</t>
  </si>
  <si>
    <t>Lô OBT 2, ô số 28 , phố Bắc Linh Đàm - Phường Đại Kim - Quận Hoàng Mai - Hà Nội.</t>
  </si>
  <si>
    <t>0108117846</t>
  </si>
  <si>
    <t>Mộc Anh Vimax - 0944838789</t>
  </si>
  <si>
    <t>Hà số đt 0965872832</t>
  </si>
  <si>
    <t>CÔNG TY CỔ PHẦN KINH DOANH XUẤT NHẬP KHẨU THUẬN THÀNH</t>
  </si>
  <si>
    <t>Số 17, No5, KĐT mới Sài Đồng, đường Huỳnh Văn Nghệ - Phường Phúc Đồng - Quận Long Biên - Hà Nội.</t>
  </si>
  <si>
    <t>0107829424</t>
  </si>
  <si>
    <t>TRƯỜNG MẦM NON THĂNG LONG</t>
  </si>
  <si>
    <t>Lô X1 khu đô thị Bắc Linh Đàm - Phường Đại Kim - Quận Hoàng Mai - Hà Nội.</t>
  </si>
  <si>
    <t>0105662459</t>
  </si>
  <si>
    <t xml:space="preserve"> TRƯỜNG THCS VÀ THPT QUỐC TẾ THĂNG LONG</t>
  </si>
  <si>
    <t>0105849672</t>
  </si>
  <si>
    <t>Lô X1 KĐT Bắc Linh Đàm - Phường Đại Kim - Quận Hoàng Mai - Hà Nội.</t>
  </si>
  <si>
    <t>TRƯỜNG TIỂU HỌC QUỐC TẾ THĂNG LONG</t>
  </si>
  <si>
    <t>Lô X1, khu đô thị bắc Linh Đàm - Phường Đại Kim - Quận Hoàng Mai - Hà Nội.</t>
  </si>
  <si>
    <t>0105160811</t>
  </si>
  <si>
    <t>CÔNG TY CỔ PHẦN ĐÀO TẠO QUỐC TẾ HEC VIỆT NAM</t>
  </si>
  <si>
    <t>0107564129</t>
  </si>
  <si>
    <t>ô 232, lô C, khu đô thị mới Đại Kim - Định Công - Phường Đại Kim - Quận Hoàng Mai - Hà Nội.</t>
  </si>
  <si>
    <t>CÔNG TY CỔ PHẦN SƠN MATA VIỆT NAM</t>
  </si>
  <si>
    <t>Số 959 Phúc Diễn - Phường Xuân Phương - Quận Nam Từ Liêm - Hà Nội.</t>
  </si>
  <si>
    <t>0107164113</t>
  </si>
  <si>
    <t>c Duyen 0902557469</t>
  </si>
  <si>
    <t>Đc mail: sonmatavn@gmail.com</t>
  </si>
  <si>
    <t xml:space="preserve"> CÔNG TY CỔ PHẦN XUẤT NHẬP KHẨU VĂN HOÁ PHẨM</t>
  </si>
  <si>
    <t>0100109988</t>
  </si>
  <si>
    <t>22B Hai Bà Trưng - Phường Tràng Tiền - Quận Hoàn Kiếm - Hà Nội.</t>
  </si>
  <si>
    <t>CÔNG TY CỔ PHẦN ĐIỆN VÀ TỰ ĐỘNG HÓA DẦU KHÍ VIỆT NAM</t>
  </si>
  <si>
    <t>Số nhà 38B ngõ 307 đường Giảng Võ - Phường Cát Linh - Quận Đống đa - Hà Nội.</t>
  </si>
  <si>
    <t xml:space="preserve"> 0102129644</t>
  </si>
  <si>
    <t>0106313965</t>
  </si>
  <si>
    <t>CÔNG TY TNHH VINH TOÀN THẮNG</t>
  </si>
  <si>
    <t>Số 17, đường Trần Phú - Phường Điện Biên - Quận Ba Đình - Hà Nội.</t>
  </si>
  <si>
    <t xml:space="preserve"> CÔNG TY TNHH DU LỊCH CON ĐƯỜNG ĐÔNG DƯƠNG</t>
  </si>
  <si>
    <t>Xóm Mỹ Lộc, thôn Hạ Thái - Xã Duyên Thái - Huyện Thường Tín - Hà Nội.</t>
  </si>
  <si>
    <t>0104511143</t>
  </si>
  <si>
    <t>0101510279</t>
  </si>
  <si>
    <t>CÔNG TY TNHH ĐIỆN CƠ CHÍNH XÁC TOÀN ANH</t>
  </si>
  <si>
    <t>Lô OBT2, số 16 Khu X1 Bắc Linh Đàm mở rộng - Phường Đại Kim - Quận Hoàng Mai - Hà Nội.</t>
  </si>
  <si>
    <t>25/08/2020 FT20238A02002568\XNV 10321656622015 (B/O PHAN VAN TOAN) 995220082532691 - CONG TY TOAN ANHCHUYEN TIEN  925,000</t>
  </si>
  <si>
    <t xml:space="preserve"> CÔNG TY TNHH ĐẦU TƯ CÔNG NGHỆ TÂN HOÀNG PHÁT</t>
  </si>
  <si>
    <t>Số 114, ngõ 71 Tân ấp - Phường Phúc Xá - Quận Ba Đình - Hà Nội.</t>
  </si>
  <si>
    <t xml:space="preserve"> 0107811057</t>
  </si>
  <si>
    <t>thêm sđt: 02462965226</t>
  </si>
  <si>
    <t>email: ketoan.tanhoangphat@gmail.com</t>
  </si>
  <si>
    <t>DOANH NGHIỆP TƯ NHÂN SẢN XUẤT VÀ THƯƠNG MẠI CAO SU QUANG HUẤN</t>
  </si>
  <si>
    <t>Tổ 17 - Phường Yên Sở - Quận Hoàng Mai - Hà Nội.</t>
  </si>
  <si>
    <t>0105470034</t>
  </si>
  <si>
    <t>096 8137996</t>
  </si>
  <si>
    <t>Huong.49neu@gmail.com</t>
  </si>
  <si>
    <t>CÔNG TY CỔ PHẦN THƯƠNG MẠI VẠN PHÚC SƠN</t>
  </si>
  <si>
    <t>Số 114, ngõ 885, đường Tam Trinh - Phường Yên Sở - Quận Hoàng Mai - Hà Nội.</t>
  </si>
  <si>
    <t>0106371290</t>
  </si>
  <si>
    <t>28/08/2020 FT20241675649533\LNM 10321656622015 Vps tt nacencomm  1,600,000 cty này Viết nd vi diệu thật</t>
  </si>
  <si>
    <t>CÔNG TY TNHH KINH DOANH THƯƠNG MẠI VÀ DỊCH VỤ BẢO ANH</t>
  </si>
  <si>
    <t>Số 4, ngách 61/37, đường Bằng Liệt - Phường Hoàng Liệt - Quận Hoàng Mai - Hà Nội.</t>
  </si>
  <si>
    <t>0107513935</t>
  </si>
  <si>
    <t>Mrthang0108@gmail.com</t>
  </si>
  <si>
    <t>0943357777</t>
  </si>
  <si>
    <t>15/08/2020 FT20228022264474\BNK 10321656622015 Cty Bao Anh 0107513935 ct Hoa don d ien tu  800,000</t>
  </si>
  <si>
    <t xml:space="preserve"> CÔNG TY CỔ PHẦN THƯƠNG MẠI VÀ DỊCH VỤ HOÀNG SAN</t>
  </si>
  <si>
    <t>Số 7/79 đường Trung Văn - Phường Trung Văn - Quận Nam Từ Liêm - Hà Nội.</t>
  </si>
  <si>
    <t>0105972901</t>
  </si>
  <si>
    <t xml:space="preserve"> CÔNG TY CỔ PHẦN VẬT LIỆU XÂY DỰNG HTC VIỆT NAM</t>
  </si>
  <si>
    <t>Số 7, Ngách 15/32, Ngõ 15 Phố Bằng Liệt - Phường Hoàng Liệt - Quận Hoàng Mai - Hà Nội.</t>
  </si>
  <si>
    <t>0107790209</t>
  </si>
  <si>
    <t>Kscuong - HTC</t>
  </si>
  <si>
    <t>CÔNG TY TNHH ĐẦU TƯ VÀ TƯ VẤN DỊCH VỤ IP PRO</t>
  </si>
  <si>
    <t>Số 28, ngõ 123/22, Tổ 4 Hòe Thị - Phường Phương Canh - Quận Nam Từ Liêm - Hà Nội.</t>
  </si>
  <si>
    <t xml:space="preserve"> 0107833910</t>
  </si>
  <si>
    <t>thanhhuongip@gmail.com</t>
  </si>
  <si>
    <t>0987858890</t>
  </si>
  <si>
    <t>24/08/2020 FT20237740389549\BNK 10321656622015 Cong ty IPpro ck phi hoa don dien t u 0987858890  500,000</t>
  </si>
  <si>
    <t>CÔNG TY TNHH NỒI HƠI CÔNG NGHIỆP VIỆT NAM</t>
  </si>
  <si>
    <t>Số 66, Tổ 13 - Phường Yên Sở - Quận Hoàng Mai - Hà Nội.</t>
  </si>
  <si>
    <t>0104940223</t>
  </si>
  <si>
    <t>CÔNG TY CỔ PHẦN DƯỢC VÀ THIẾT BỊ Y TẾ TÂM ĐỨC HÀ NỘI</t>
  </si>
  <si>
    <t>Số 108, ngõ 168, đường Kim Giang - Phường Đại Kim - Quận Hoàng Mai - Hà Nội.</t>
  </si>
  <si>
    <t>0107853057</t>
  </si>
  <si>
    <t>096 2455382</t>
  </si>
  <si>
    <t>Duocphamtamduchanoi@gmail.com</t>
  </si>
  <si>
    <t>CÔNG TY TNHH THƯƠNG MẠI VINAKING</t>
  </si>
  <si>
    <t>Số 6, ngách 17, ngõ 37, phố Bằng Liệt - Phường Hoàng Liệt - Quận Hoàng Mai - Hà Nội.</t>
  </si>
  <si>
    <t>0108448326</t>
  </si>
  <si>
    <t>vinakingtrading@gmail.com</t>
  </si>
  <si>
    <t>0978500327</t>
  </si>
  <si>
    <t>18/08/2020 FT20231A06004308\XNV 10321656622015 (B/O CTY TNHH THUONG MAI VINAKING) TC:505810545.CTY TNHH TM VINAKING CHUYEN TIEN HOA DON GOI EI300  800,000</t>
  </si>
  <si>
    <t xml:space="preserve"> CÔNG TY TNHH DỊCH VỤ VÀ GIẢI PHÁP CÔNG NGHỆ KHOA HƯNG</t>
  </si>
  <si>
    <t>Số nhà 11, ngách 281/70, ngõ 281, đường Trương Định - Phường Tương Mai - Quận Hoàng Mai - Hà Nội.</t>
  </si>
  <si>
    <t xml:space="preserve"> 0107783201</t>
  </si>
  <si>
    <t xml:space="preserve"> CÔNG TY CỔ PHẦN XÂY DỰNG VÀ PHÁT TRIỂN HẠ TẦNG ĐÔNG DƯƠNG</t>
  </si>
  <si>
    <t>Số 09, ngõ 250/100/31, đường Kim Giang - Phường Đại Kim - Quận Hoàng Mai - Hà Nội.</t>
  </si>
  <si>
    <t xml:space="preserve"> 0106293733</t>
  </si>
  <si>
    <t>CÔNG TY TNHH ẨM THỰC OLIVE VIỆT NAM</t>
  </si>
  <si>
    <t>Nhà 276 Thái Hà - Phường Trung Liệt - Quận Đống đa - Hà Nội.</t>
  </si>
  <si>
    <t xml:space="preserve"> 0107868751</t>
  </si>
  <si>
    <t>CÔNG TY CỔ PHẦN XÂY DỰNG VÀ THƯƠNG MẠI THUẬN LỢI</t>
  </si>
  <si>
    <t>Số 818A Đường Láng - Phường Láng Thượng - Quận Đống đa - Hà Nội.</t>
  </si>
  <si>
    <t>0101221904</t>
  </si>
  <si>
    <t>Tranghoathuan07@gmail.com</t>
  </si>
  <si>
    <t>0989205372</t>
  </si>
  <si>
    <t>26/08/2020 FT20239179448628\BNK 10321656622015 thanh dat - 0108211976 tt tien hdtt  800,000</t>
  </si>
  <si>
    <t>CÔNG TY TNHH DU LỊCH VÀ THƯƠNG MẠI XUẤT NHẬP KHẨU AN VIỆT</t>
  </si>
  <si>
    <t>Số 105 phố Đông Tác - Phường Trung Tự - Quận Đống đa - Hà Nội.</t>
  </si>
  <si>
    <t>0101660115</t>
  </si>
  <si>
    <t>CÔNG TY CỔ PHẦN XÂY DỰNG CÔNG TRÌNH 568</t>
  </si>
  <si>
    <t>0101819282</t>
  </si>
  <si>
    <t>Số 6, ngõ 126, phố Đốc Ngữ - Phường Vĩnh Phúc - Quận Ba Đình - Hà Nội.</t>
  </si>
  <si>
    <t xml:space="preserve"> CÔNG TY CỔ PHẦN THƯƠNG MẠI VÀ TRUYỀN THÔNG QUỐC TẾ THĂNG LONG</t>
  </si>
  <si>
    <t>0106140208</t>
  </si>
  <si>
    <t>Số 2/1, ngõ 36, đường Tả Thanh Oai - Xã Tả Thanh Oai - Huyện Thanh Trì - Hà Nội.</t>
  </si>
  <si>
    <t>0106884084</t>
  </si>
  <si>
    <t>CÔNG TY TNHH XÂY DỰNG THƯƠNG MẠI VÀ NỘI THẤT TRƯỜNG THỊNH</t>
  </si>
  <si>
    <t>Số 3, ngõ 47 Nguyễn Đức Cảnh - Phường Tương Mai - Quận Hoàng Mai - Hà Nội.</t>
  </si>
  <si>
    <t>CÔNG TY TNHH TM TIẾN DŨNG</t>
  </si>
  <si>
    <t>0106507858</t>
  </si>
  <si>
    <t>Số nhà 19, ngõ 192, ngách 58 Kim Giang - Phường Đại Kim - Quận Hoàng Mai - Hà Nội.</t>
  </si>
  <si>
    <t>Phan Lan - Tiến Dũng</t>
  </si>
  <si>
    <t>CÔNG TY TNHH THƯƠNG MẠI TÂN PHÚ MỸ</t>
  </si>
  <si>
    <t xml:space="preserve"> 0101582040</t>
  </si>
  <si>
    <t>Số 9A ngõ 20/15 đường Hồ Tùng Mậu, Tổ 35 - Phường Mai Dịch - Quận Cầu Giấy - Hà Nội.</t>
  </si>
  <si>
    <t xml:space="preserve"> CHI NHÁNH CÔNG TY CỔ PHẦN THỰC PHẨM SACO TẠI HÀ NỘI</t>
  </si>
  <si>
    <t>0312626956-001</t>
  </si>
  <si>
    <t>Lô N9A, tổ 28, khu tái định cư X2B Yên Sở - Phường Yên Sở - Quận Hoàng Mai - Hà Nội.</t>
  </si>
  <si>
    <t>eINVOICE1-eI1.000</t>
  </si>
  <si>
    <t xml:space="preserve"> ĐT: 09730003337</t>
  </si>
  <si>
    <t>luyensoeco@gmail.com</t>
  </si>
  <si>
    <t>CÔNG TY CỔ PHẦN THƯƠNG MẠI VÀ XÂY LẮP MINH PHÁT</t>
  </si>
  <si>
    <t>No14-LK14-08 khu đất dịch vụ Dộc Bún - Phường La Khê - Quận Hà Đông - Hà Nội.</t>
  </si>
  <si>
    <t>0107924540</t>
  </si>
  <si>
    <t>Thoa Đình Bạn chị Thúy</t>
  </si>
  <si>
    <t>kimthoa.tb92@gmail.com</t>
  </si>
  <si>
    <t>CÔNG TY TNHH PHẦN MỀM KHỞI NGUỒN</t>
  </si>
  <si>
    <t>Số 11- nhà N2, TT Quân đội Cục Hậu Cần - Phường Xuân Phương - Quận Nam Từ Liêm - Hà Nội.</t>
  </si>
  <si>
    <t>0106892060</t>
  </si>
  <si>
    <t>Chị Giang: 0912 305 689</t>
  </si>
  <si>
    <t>ketoan@mobileplus.vn</t>
  </si>
  <si>
    <t>CÔNG TY CỔ PHẦN TẬP ĐOÀN DỊCH VỤ XANH ECO</t>
  </si>
  <si>
    <t>Phòng 802, Tòa nhà Cung Trí thức , Số 1 Tôn Thất Thuyết - Phường Dịch Vọng Hậu - Quận Cầu Giấy - Hà Nội.</t>
  </si>
  <si>
    <t xml:space="preserve"> 0109020413</t>
  </si>
  <si>
    <t xml:space="preserve"> CÔNG TY CP XÂY DỰNG VÀ THƯƠNG MẠI HUY HIẾU</t>
  </si>
  <si>
    <t>0108658122</t>
  </si>
  <si>
    <t>2B, ngách 19, ngõ 479, tổ 18 - Phường Lĩnh Nam - Quận Hoàng Mai - Hà Nội.</t>
  </si>
  <si>
    <t xml:space="preserve"> a hùng 0963019968</t>
  </si>
  <si>
    <t>congtyxdhuyhieu@gmail.com</t>
  </si>
  <si>
    <t xml:space="preserve"> CÔNG TY CỔ PHẦN KINH DOANH THƯƠNG MẠI VÀ DỊCH VỤ VẠN XUÂN</t>
  </si>
  <si>
    <t>ki ốt 01 tầng 1 c/cư 11 tầng, t/thể bộ KH&amp;ĐT,đường Đông Quan - Phường Quan Hoa - Quận Cầu Giấy - Hà Nội.</t>
  </si>
  <si>
    <t>0104277140</t>
  </si>
  <si>
    <t>CÔNG TY TNHH DỆT LEN XUẤT NHẬP KHẨU VÀ THƯƠNG MẠI VINAFASHION</t>
  </si>
  <si>
    <t>Số nhà 16, ngõ 76/1, phố Vĩnh Hưng - Phường Vĩnh Hưng - Quận Hoàng Mai - Hà Nội.</t>
  </si>
  <si>
    <t>0106501479</t>
  </si>
  <si>
    <t>eINVOICE1-eI5.000</t>
  </si>
  <si>
    <t>CÔNG TY TNHH HỌC VIỆN QUẢN LÝ GIÁO DỤC QUỐC TẾ ATI</t>
  </si>
  <si>
    <t>Nhà số 5, tổ 24 - Phường Yên Sở - Quận Hoàng Mai - Hà Nội.</t>
  </si>
  <si>
    <t>0106628267</t>
  </si>
  <si>
    <t xml:space="preserve"> CÔNG TY TNHH TƯ VẤN DINH DƯỠNG NUTRIKID VIỆT NAM TẠI HÀ NỘI</t>
  </si>
  <si>
    <t>Số 7, ngách 989/2, đường Tam Trinh - Phường Yên Sở - Quận Hoàng Mai - Hà Nội.</t>
  </si>
  <si>
    <t>0108448206</t>
  </si>
  <si>
    <t xml:space="preserve"> CÔNG TY TNHH QUẢNG CÁO VÀ NỘI THẤT AN HOÀNG</t>
  </si>
  <si>
    <t>Số 221 Phan Bá Vành - Phường Cổ Nhuế 1 - Quận Bắc Từ Liêm - Hà Nội.</t>
  </si>
  <si>
    <t>0108005652</t>
  </si>
  <si>
    <t xml:space="preserve"> CÔNG TY CỔ PHẦN ĐẦU TƯ THƯƠNG MẠI VÀ PHÁT TRIỂN DỊCH VỤ VIỄN THÔNG NETTECH VIỆT NAM</t>
  </si>
  <si>
    <t>0106670660</t>
  </si>
  <si>
    <t>Số nhà 28, ngõ 1277/7/1 đường Giải Phóng,tổ 8 - Phường Thịnh Liệt - Quận Hoàng Mai - Hà Nội.</t>
  </si>
  <si>
    <t>0102654178</t>
  </si>
  <si>
    <t>CÔNG TY CỔ PHẦN TƯ VẤN XÂY DỰNG THƯƠNG MẠI DỊCH VỤ TỔNG HỢP ANH PHƯƠNG</t>
  </si>
  <si>
    <t>770 H15 Tân Mai, P.Tân Mai - - Quận Hoàng Mai - Hà Nội.</t>
  </si>
  <si>
    <t xml:space="preserve"> 0105777308</t>
  </si>
  <si>
    <t xml:space="preserve"> CÔNG TY TNHH HỌC VIỆN ĐÀO TẠO VÀ TƯ VẤN PTI</t>
  </si>
  <si>
    <t>Tầng 14 tháp B, tòa nhà Sông Đà, đường Phạm Hùng - Phường Mỹ Đình 1 - Quận Nam Từ Liêm - Hà Nội.</t>
  </si>
  <si>
    <t>0107506744</t>
  </si>
  <si>
    <t xml:space="preserve"> CÔNG TY TNHH BUSUNY VIỆT NAM</t>
  </si>
  <si>
    <t>Số 21 ngõ 535 phố Kim Mã - Phường Ngọc Khánh - Quận Ba Đình - Hà Nội.</t>
  </si>
  <si>
    <t>0108059538</t>
  </si>
  <si>
    <t>sđt là 0904565606</t>
  </si>
  <si>
    <t>nguyenducminh0908@gmail.com</t>
  </si>
  <si>
    <t xml:space="preserve"> CÔNG TY TNHH HOÀNG HOÀNG ANH- CHI NHÁNH HÀ NỘI</t>
  </si>
  <si>
    <t>0306037896-002</t>
  </si>
  <si>
    <t>Lô TT12-12.20, khu nhà ở sinh thái Xuân Phương - Phường Xuân Phương - Quận Nam Từ Liêm - Hà Nội.</t>
  </si>
  <si>
    <t>Oanh.daivu@gmail.com</t>
  </si>
  <si>
    <t xml:space="preserve"> CÔNG TY TNHH THƯƠNG MẠI VÀ DỊCH VỤ KỸ THUẬT HẢI PHÚ HÀ</t>
  </si>
  <si>
    <t>Tổ dân phố Trù 2 - Phường Cổ Nhuế 2 - Quận Bắc Từ Liêm - Hà Nội.</t>
  </si>
  <si>
    <t>c Liên 0978457879</t>
  </si>
  <si>
    <t>email : ketoan@haiphuha.com.vn</t>
  </si>
  <si>
    <t>0102350317</t>
  </si>
  <si>
    <t>CÔNG TY TNHH KYDON VIỆT NAM</t>
  </si>
  <si>
    <t>Tầng 8, Tòa nhà Anh Minh, số 36 Hoàng Cầu - Phường ô Chợ Dừa - Quận Đống đa - Hà Nội.</t>
  </si>
  <si>
    <t xml:space="preserve"> 0106760635</t>
  </si>
  <si>
    <t xml:space="preserve"> CÔNG TY TNHH DỆT LEN XUẤT NHẬP KHẨU VÀ THƯƠNG MẠI VINAFASHION</t>
  </si>
  <si>
    <t xml:space="preserve"> 0106501479</t>
  </si>
  <si>
    <t>free 50</t>
  </si>
  <si>
    <t>CÔNG TY CỔ PHẦN PCD</t>
  </si>
  <si>
    <t>Số 191, ngõ 192 đường Lê Trọng Tấn - Phường Định Công - Quận Hoàng Mai - Hà Nội.</t>
  </si>
  <si>
    <t xml:space="preserve"> 0103212334</t>
  </si>
  <si>
    <t>CÔNG TY CỔ PHẦN ĐẦU TƯ XUẤT NHẬP KHẨU UNICO VIỆT NAM</t>
  </si>
  <si>
    <t>0105677423</t>
  </si>
  <si>
    <t>Số 16, ngõ 199/3 Hồ Tùng Mậu - Phường Cầu Diễn - Quận Nam Từ Liêm - Hà Nội.</t>
  </si>
  <si>
    <t xml:space="preserve"> CÔNG TY CỔ PHẦN TƯ VẤN XÂY DỰNG VÀ ĐẦU TƯ THƯƠNG MẠI HOA LƯ</t>
  </si>
  <si>
    <t xml:space="preserve"> 0103021040</t>
  </si>
  <si>
    <t>Số 4, Ngõ 367/52 Đường Xuân Phương, Tổ 6 - Phường Xuân Phương - Quận Nam Từ Liêm - Hà Nội.</t>
  </si>
  <si>
    <t>Tranductrinh1987@gmail.com</t>
  </si>
  <si>
    <t>CÔNG TY TNHH THƯƠNG MẠI TỔNG HỢP KIM SA</t>
  </si>
  <si>
    <t>Số 2, ngõ 212, đường Kim Giang - Phường Đại Kim - Quận Hoàng Mai - Hà Nội.</t>
  </si>
  <si>
    <t>0106189274</t>
  </si>
  <si>
    <t>Theuthangloifood@gmail.com</t>
  </si>
  <si>
    <t>0985156835</t>
  </si>
  <si>
    <t>CÔNG TY CỔ PHẦN QUẢN LÝ DỰ ÁN VÀ PHÁT TRIỂN CÔNG NGHỆ G.A.T</t>
  </si>
  <si>
    <t>Số 48 ngõ 2 phố Thái Hà, phường Trung Liệt - Phường Trung Liệt - Quận Đống đa - Hà Nội.</t>
  </si>
  <si>
    <t>0102121973</t>
  </si>
  <si>
    <t>085 7528988</t>
  </si>
  <si>
    <t>ttrang24@gmail.com</t>
  </si>
  <si>
    <t>CÔNG TY TNHH FOOD PHÁT LỘC</t>
  </si>
  <si>
    <t>0104618873</t>
  </si>
  <si>
    <t>Số 39, ngõ 1295, đường Giải Phóng - Phường Thịnh Liệt - Quận Hoàng Mai - Hà Nội.</t>
  </si>
  <si>
    <t xml:space="preserve">0984835596
</t>
  </si>
  <si>
    <t>Phatlocfood@gmail.com</t>
  </si>
  <si>
    <t>CÔNG TY TNHH XÂY DỰNG XÚC TIẾN THƯƠNG MẠI HỒNG HẢI</t>
  </si>
  <si>
    <t>Số 121, ngõ 141, phố Giáp Nhị - Phường Thịnh Liệt - Quận Hoàng Mai - Hà Nội.</t>
  </si>
  <si>
    <t xml:space="preserve"> 0105965823</t>
  </si>
  <si>
    <t>Đt: 0988594500</t>
  </si>
  <si>
    <t>Mail :Ngochai21@gmail.com</t>
  </si>
  <si>
    <t>22/08/2020 FT20235713763590\BNK 10321656622015 Tt cc phan mem HD DT Cty Hong Hai  500,000</t>
  </si>
  <si>
    <t>CÔNG TY TRÁCH NHIỆM HỮU HẠN THƯƠNG MẠI VÀ XÂY LẮP TÂN LẬP PHÁT</t>
  </si>
  <si>
    <t>0108155552</t>
  </si>
  <si>
    <t>Số 10, ngách 24, ngõ 142, đường Kim Giang - Phường Đại Kim - Quận Hoàng Mai - Hà Nội.</t>
  </si>
  <si>
    <t>0941642899</t>
  </si>
  <si>
    <t>laphv.tlp@gmail.com</t>
  </si>
  <si>
    <t>CHI NHÁNH CÔNG TY TNHH TƯ VẤN DINH DƯỠNG NUTRIKID VIỆT NAM TẠI HÀ NỘI</t>
  </si>
  <si>
    <t xml:space="preserve"> 0312982552-002</t>
  </si>
  <si>
    <t>Lô N3A, tổ 28, khu tái định cư X2B Yên Sở - Phường Yên Sở - Quận Hoàng Mai - Hà Nội.</t>
  </si>
  <si>
    <t>CÔNG TY CỔ PHẦN NEXT</t>
  </si>
  <si>
    <t>Phòng 503, toà nhà văn phòng Sông Thao 2, số 140/2, phố Đội - Phường Đội Cấn - Quận Ba Đình - Hà Nội.</t>
  </si>
  <si>
    <t xml:space="preserve"> 0101868730</t>
  </si>
  <si>
    <t>Chị Trang - 0946589581</t>
  </si>
  <si>
    <t>trangensco@gmail.com</t>
  </si>
  <si>
    <t>CÔNG TY TNHH D-NATURE</t>
  </si>
  <si>
    <t xml:space="preserve"> 0107732454</t>
  </si>
  <si>
    <t>Số 33 ngõ 8 Thành Công - Phường Thành Công - Quận Ba Đình - Hà Nội.</t>
  </si>
  <si>
    <t>CÔNG TY TNHH THƯƠNG MẠI VÀ DỊCH VỤ KỸ THUẬT ĐẠI QUANG MINH</t>
  </si>
  <si>
    <t>Số 89, ngách 168/97, đường Kim Giang - Phường Đại Kim - Quận Hoàng Mai - Hà Nội.</t>
  </si>
  <si>
    <t xml:space="preserve"> 0107654005</t>
  </si>
  <si>
    <t>Thương 0966044660</t>
  </si>
  <si>
    <t>Thuongtm252@gmail.com</t>
  </si>
  <si>
    <t>0104738899</t>
  </si>
  <si>
    <t>Số 297, đường K2, tổ 14 - Phường Cầu Diễn - Quận Nam Từ Liêm - Hà Nội.</t>
  </si>
  <si>
    <t>CÔNG TY TNHH TƯ VẤN VÀ ĐO ĐẠC BẢN ĐỒ HÀ NỘI</t>
  </si>
  <si>
    <t>leungocbich@gmail.com</t>
  </si>
  <si>
    <t>0979768673</t>
  </si>
  <si>
    <t>CÔNG TY CỔ PHẦN GIẢI PHÁP KINH DOANH BẢO LÂM KHÁNH</t>
  </si>
  <si>
    <t>Số 6AF1, đường Nguyễn Cảnh Dị - Phường Đại Kim - Quận Hoàng Mai - Hà Nội.</t>
  </si>
  <si>
    <t xml:space="preserve"> 0106106013</t>
  </si>
  <si>
    <t xml:space="preserve"> CÔNG TY TNHH PHÁT TRIỂN SẢN XUẤT VÀ ĐẦU TƯ THƯƠNG MẠI HK&amp;C</t>
  </si>
  <si>
    <t>Tầng 5, Tòa Nhà Sudico, Đường Mễ Trì - Phường Mỹ Đình 1 - Quận Nam Từ Liêm - Hà Nội.</t>
  </si>
  <si>
    <t xml:space="preserve"> 0107367836</t>
  </si>
  <si>
    <t>Huekbs@gmail.com</t>
  </si>
  <si>
    <t>c Huệ   0902288155</t>
  </si>
  <si>
    <t>CÔNG TY CỔ PHẦN ĐẦU TƯ MESANTEX</t>
  </si>
  <si>
    <t>Hùng Kế toán</t>
  </si>
  <si>
    <t>0105122686</t>
  </si>
  <si>
    <t>Số 7 BT4-2, Khu ĐTM Trung Văn - Phường Trung Văn - Quận Nam Từ Liêm - Hà Nội.</t>
  </si>
  <si>
    <t>thuynguyen310597@gmail.com</t>
  </si>
  <si>
    <t>CÔNG TY TNHH SẢN XUẤT VÀ THƯƠNG MẠI PHÚC HUY</t>
  </si>
  <si>
    <t>Số nhà 1125, đường La Thành - Phường Ngọc Khánh - Quận Ba Đình - Hà Nội.</t>
  </si>
  <si>
    <t>0107367096</t>
  </si>
  <si>
    <t>CÔNG TY TNHH TƯ VẤN VÀ TRUYỀN THÔNG SỨC KHỎE VIỆT</t>
  </si>
  <si>
    <t>0109300097</t>
  </si>
  <si>
    <t>Tầng 2, số 122 B4, Khu đô thị Đại Kim, - Phường Đại Kim - Quận Hoàng Mai - Hà Nội.</t>
  </si>
  <si>
    <t>Đại Kim</t>
  </si>
  <si>
    <t xml:space="preserve"> CÔNG TY TNHH TÂM ĐỨC VIỆT</t>
  </si>
  <si>
    <t>Số 12, ngõ 1277/134/6, đường Giải Phóng - Phường Thịnh Liệt - Quận Hoàng Mai - Hà Nội.</t>
  </si>
  <si>
    <t>0104942608</t>
  </si>
  <si>
    <t xml:space="preserve">tamducviet@gmail.com 0904108738 </t>
  </si>
  <si>
    <t>CÔNG TY TNHH LIÊN DOANH NGÓI MÀU FUJI ĐÔNG ANH</t>
  </si>
  <si>
    <t>Nhà số 4 BT5 khu đô thị Pháp Vân - Phường Hoàng Liệt - Quận Hoàng Mai - Hà Nội.</t>
  </si>
  <si>
    <t>0108230464</t>
  </si>
  <si>
    <t>haivan0689@gmail.com</t>
  </si>
  <si>
    <t>0915086929</t>
  </si>
  <si>
    <t>CÔNG TY TNHH VÀNG BẠC ĐÁ QUÝ LONG LOAN</t>
  </si>
  <si>
    <t>0104890004</t>
  </si>
  <si>
    <t>Số 470 Trương Định - Phường Tân Mai - Quận Hoàng Mai - Hà Nội.</t>
  </si>
  <si>
    <t>CÔNG TY TNHH PLJ PHÚC LONG</t>
  </si>
  <si>
    <t>Số 474 Trương Định (Số cũ: 100) - Phường Tân Mai - Quận Hoàng Mai - Hà Nội.</t>
  </si>
  <si>
    <t>0105565279</t>
  </si>
  <si>
    <t>CÔNG TY TNHH XÂY DỰNG DÂN DỤNG VÀ CÔNG NGHIỆP INCO</t>
  </si>
  <si>
    <t>Số 1B, ngõ 276/45 phố Đại Từ - Phường Đại Kim - Quận Hoàng Mai - Hà Nội.</t>
  </si>
  <si>
    <t>0108005966</t>
  </si>
  <si>
    <t xml:space="preserve"> CÔNG TY TNHH THƯƠNG MẠI VÀ DỊCH VỤ AN ĐỨC THỊNH</t>
  </si>
  <si>
    <t>Nhà số 3 A13, khu đô thị Đầm Trấu - Phường Bạch Đằng - Quận Hai Bà Trưng - Hà Nội.</t>
  </si>
  <si>
    <t xml:space="preserve"> 0106720047</t>
  </si>
  <si>
    <t>097 2506961 kt cty an đức thịnh</t>
  </si>
  <si>
    <t>CÔNG TY TNHH QUẢNG CÁO VÀ THƯƠNG MẠI BẢO MINH</t>
  </si>
  <si>
    <t>Số nhà 6A, hẻm 42/197/25, phố Thịnh Liệt - Phường Thịnh Liệt - Quận Hoàng Mai - Hà Nội.</t>
  </si>
  <si>
    <t>0106885634</t>
  </si>
  <si>
    <t>nguyễn Thị Hoa - 0945.055.666</t>
  </si>
  <si>
    <t>Gmail: baominh.ad@gmail.com</t>
  </si>
  <si>
    <t>25/08/2020 FT20238090022195\BNK 10321656622015 0106885634 TT goi hoa don dien tu ei300  800,000</t>
  </si>
  <si>
    <t>CÔNG TY CỔ PHẦN TƯ VẤN VÀ ĐẦU TƯ XÂY DỰNG CÔNG TRÌNH TÂM VIỆT</t>
  </si>
  <si>
    <t>Số 19, ngách 292/41, ngõ 292, đường Kim Giang - Phường Đại Kim - Quận Hoàng Mai - Hà Nội.</t>
  </si>
  <si>
    <t xml:space="preserve"> 0106975260</t>
  </si>
  <si>
    <t>lananhhn106@gmail.com</t>
  </si>
  <si>
    <t>CÔNG TY TNHH DƯỢC PHẨM NAM ĐÔ</t>
  </si>
  <si>
    <t>Số 62, ngõ 637, đường Trương Định - Phường Thịnh Liệt - Quận Hoàng Mai - Hà Nội.</t>
  </si>
  <si>
    <t>0108324218</t>
  </si>
  <si>
    <t>31/08/2020 FT20244695156387\TRD 10321656622015 Namdo tt hd 15784 ngay 28 t8  2,750,000\</t>
  </si>
  <si>
    <t>eINVOICE1-eI5000</t>
  </si>
  <si>
    <t xml:space="preserve">CÔNG TY TNHH CÔNG NGHỆ VÀ DỊCH VỤ BẮC NAM </t>
  </si>
  <si>
    <t xml:space="preserve"> 0107399299</t>
  </si>
  <si>
    <t>Số 21, ngõ 111 phố Thiên Hiền - Phường Mỹ Đình 1 - Quận Nam Từ Liêm - Hà Nội.</t>
  </si>
  <si>
    <t>c Hiền 0989800528</t>
  </si>
  <si>
    <t>hienchi.ng2014@gmail.com</t>
  </si>
  <si>
    <t>25/08/2020 FT20238800398402\BNK 10321656622015 0107399299  800,000</t>
  </si>
  <si>
    <t>CÔNG TY TNHH ỨNG DỤNG CÔNG NGHỆ VÀ PHÁT TRIỂN THƯƠNG MẠI HOÀNG LƯU</t>
  </si>
  <si>
    <t>Hằng Domiaca</t>
  </si>
  <si>
    <t>Số nhà 337, đội 10, cụm dân cư Ngọc Trục - Phường Đại Mỗ - Quận Nam Từ Liêm - Hà Nội.</t>
  </si>
  <si>
    <t xml:space="preserve"> CÔNG TY TNHH THƯƠNG MẠI VÀ ĐẦU TƯ TỔNG HỢP QUANG VINH</t>
  </si>
  <si>
    <t xml:space="preserve"> 0101358377</t>
  </si>
  <si>
    <t>Tổ dân phố Tó - Phường Tây Mỗ - Quận Nam Từ Liêm - Hà Nội.</t>
  </si>
  <si>
    <t>0101212522</t>
  </si>
  <si>
    <t>0106702513</t>
  </si>
  <si>
    <t xml:space="preserve"> CÔNG TY CỔ PHẦN XÂY DỰNG, THƯƠNG MẠI VÀ XNK THIÊN ÂN</t>
  </si>
  <si>
    <t>Số 27, ngách 612/34 La Thành - Phường Giảng Võ - Quận Ba Đình - Hà Nội.</t>
  </si>
  <si>
    <t>CÔNG TY TNHH MỘT THÀNH VIÊN VIỆT ANH</t>
  </si>
  <si>
    <t>0500564082</t>
  </si>
  <si>
    <t>Số 82A phố Trần Phú - Phường Mộ Lao - Quận Hà Đông - Hà Nội.</t>
  </si>
  <si>
    <t xml:space="preserve"> CÔNG TY TNHH MỘT THÀNH VIÊN VIỆT ĐẠI AN</t>
  </si>
  <si>
    <t>0500564124</t>
  </si>
  <si>
    <t>Số 82B, phố Trần Phú - Phường Mộ Lao - Quận Hà Đông - Hà Nội.</t>
  </si>
  <si>
    <t>sdt của c 0977167611</t>
  </si>
  <si>
    <t>nguyensim22@gmail.com</t>
  </si>
  <si>
    <t>CÔNG TY TNHH THƯƠNG MẠI VÀ DỊCH VỤ CÔNG NGHỆ BÌNH GIA</t>
  </si>
  <si>
    <t>Số 3, Ngõ 649/77/43 đường Lĩnh Nam - Phường Lĩnh Nam - Quận Hoàng Mai - Hà Nội.</t>
  </si>
  <si>
    <t>0107695629</t>
  </si>
  <si>
    <t xml:space="preserve"> CÔNG TY TNHH ĐẦU TƯ XÂY DỰNG VÀ LẮP MÁY THỊNH PHÁT</t>
  </si>
  <si>
    <t xml:space="preserve"> 0105159654</t>
  </si>
  <si>
    <t>Số 30A, ngách 168/85, tổ 30, đường Kim Giang - Phường Đại Kim - Quận Hoàng Mai - Hà Nội.</t>
  </si>
  <si>
    <t xml:space="preserve">0944772432, Phuonghung81@gmail.com, </t>
  </si>
  <si>
    <t>26/08/2020 FT20239100823001\LDM 10321656622015 Cty thinh phat thanh toan hoa don d ien tuu  500,000</t>
  </si>
  <si>
    <t>CÔNG TY CỔ PHẦN KHOA HỌC SẢN XUẤT MỎ</t>
  </si>
  <si>
    <t>0101132475</t>
  </si>
  <si>
    <t>Phòng 208 nhà E2, Số 6 Đặng Văn Ngữ - Phường Trung Tự - Quận Đống đa - Hà Nội.</t>
  </si>
  <si>
    <t xml:space="preserve"> CÔNG TY CỔ PHẦN HAEC VINA</t>
  </si>
  <si>
    <t>Số 1/29/134/1277, đường Giải Phóng - Phường Thịnh Liệt - Quận Hoàng Mai - Hà Nội.</t>
  </si>
  <si>
    <t>0106859916</t>
  </si>
  <si>
    <t>0979.363.315</t>
  </si>
  <si>
    <t>27/08/2020 FT20240A01012501\XNV 10321656622015 (B/O CONG TY CO PHAN HAEC VINA) TC:001136.CTCP HAEC VINA THANH TOAN TIEN MUA HOA DON DIEN TU  800,000</t>
  </si>
  <si>
    <t>CÔNG TY TNHH H2P VIỆT NAM</t>
  </si>
  <si>
    <t>0108130614</t>
  </si>
  <si>
    <t>Số nhà 50, ngõ 296, đường Lĩnh Nam - Phường Lĩnh Nam - Quận Hoàng Mai - Hà Nội.</t>
  </si>
  <si>
    <t>TRƯỜNG TRUNG HỌC CƠ SỞ TRƯNG NHỊ</t>
  </si>
  <si>
    <t>Vũ</t>
  </si>
  <si>
    <t xml:space="preserve"> 0103697865</t>
  </si>
  <si>
    <t>30 phố Hương Viên - Phường Đồng Nhân - Quận Hai Bà Trưng - Hà Nội.</t>
  </si>
  <si>
    <t>eINVOICE6-eI10.000</t>
  </si>
  <si>
    <t xml:space="preserve"> CÔNG TY CỔ PHẦN PHÁT TRIỂN NHÂN LỰC VÀ HỢP TÁC QUỐC TẾ DHH VIỆT NAM</t>
  </si>
  <si>
    <t>Thôn Hậu Dưỡng - Xã Kim Chung - Huyện Đông Anh - Hà Nội.</t>
  </si>
  <si>
    <t>0108077008</t>
  </si>
  <si>
    <t>0987178988 A Đức</t>
  </si>
  <si>
    <t>CÔNG TY TNHH ĐẦU TƯ CÔNG NGHỆ GIA BẢO</t>
  </si>
  <si>
    <t>Số nhà 55 ngách 175/23 ngõ 175 phố Định Công - Phường Định Công - Quận Hoàng Mai - Hà Nội.</t>
  </si>
  <si>
    <t xml:space="preserve"> 0105873957</t>
  </si>
  <si>
    <t xml:space="preserve"> CÔNG TY CỔ PHẦN XÂY DỰNG VÀ THƯƠNG MẠI TN VIỆT NAM</t>
  </si>
  <si>
    <t>Nhà số 10, tổ 12 Pháp Vân, đường Nguyễn Hữu Thọ - Phường Hoàng Liệt - Quận Hoàng Mai - Hà Nội.</t>
  </si>
  <si>
    <t>0107866183</t>
  </si>
  <si>
    <t>0984.702.702</t>
  </si>
  <si>
    <t>tnvietnam.kh@gmail.com</t>
  </si>
  <si>
    <t>CÔNG TY TNHH ĐẦU TƯ BẤT ĐỘNG SẢN PHÚ THÀNH</t>
  </si>
  <si>
    <t>Số nhà B1-15, dự án Vinhomes Gardenia, đường Hàm Nghi - Phường Cầu Diễn - Quận Nam Từ Liêm - Hà Nội.</t>
  </si>
  <si>
    <t>0107760363</t>
  </si>
  <si>
    <t>ketoanphuthanh99@gmail.com</t>
  </si>
  <si>
    <t>em Hương 0348072721</t>
  </si>
  <si>
    <t>CÔNG TY CỔ PHẦN DAIICHI</t>
  </si>
  <si>
    <t>Số 306 đường Kim Giang - Phường Đại Kim - Quận Hoàng Mai - Hà Nội.</t>
  </si>
  <si>
    <t>0106624720</t>
  </si>
  <si>
    <t>0101273860</t>
  </si>
  <si>
    <t xml:space="preserve"> CÔNG TY TNHH ĐẦU TƯ VÀ PHÁT TRIỂN CÔNG NGHỆ MỚI</t>
  </si>
  <si>
    <t xml:space="preserve">0971051057 Ms Thương nhé. </t>
  </si>
  <si>
    <t>sales@ntech.com.vn</t>
  </si>
  <si>
    <t xml:space="preserve"> CÔNG TY TNHH THƯƠNG MẠI VÀ NỘI THẤT BẢO AN</t>
  </si>
  <si>
    <t>0106927771</t>
  </si>
  <si>
    <t>Số 3, ngách 89, ngõ 250, đường Kim Giang - Phường Đại Kim - Quận Hoàng Mai - Hà Nội.</t>
  </si>
  <si>
    <t>baoan356@gmail.com</t>
  </si>
  <si>
    <t>CÔNG TY TNHH MỸ THUẬT HÀ NỘI</t>
  </si>
  <si>
    <t>47 phố Phạm Hồng Thái - Phường Trúc Bạch - Quận Ba Đình - Hà Nội.</t>
  </si>
  <si>
    <t>0101333936</t>
  </si>
  <si>
    <t>24/08/2020 FT20237704630405\BNK 10321656622015 Cty My Thuat nop tien  800,000 1,650,626,249 In</t>
  </si>
  <si>
    <t>CÔNG TY CỔ PHẦN XÂY DỰNG MITSUVI VIỆT NAM</t>
  </si>
  <si>
    <t>Căn hộ 05, Nhà N6, KTT Cục Quân Nhu, đường Phú Diễn - Phường Phú Diễn - Quận Bắc Từ Liêm - Hà Nội.</t>
  </si>
  <si>
    <t>0104184256</t>
  </si>
  <si>
    <t>CÔNG TY TNHH THƯƠNG MẠI THÀNH HƯNG THỊNH</t>
  </si>
  <si>
    <t>Số 20, ngõ 16/47 đường Đỗ Xuân Hợp - Phường Mỹ Đình 1 - Quận Nam Từ Liêm - Hà Nội.</t>
  </si>
  <si>
    <t>0107332512</t>
  </si>
  <si>
    <t>Trần Mạnh Hiếu 0979768673</t>
  </si>
  <si>
    <t>CÔNG TY CỔ PHẦN TƯ VẤN XÂY DỰNG VÀ ĐÀO TẠO EEC VIỆT NAM</t>
  </si>
  <si>
    <t>0106751768</t>
  </si>
  <si>
    <t>Số 1, dãy D4 TT4 Bắc Linh Đàm - Phường Đại Kim - Quận Hoàng Mai - Hà Nội.</t>
  </si>
  <si>
    <t>eecvn.co@gmail.com</t>
  </si>
  <si>
    <t xml:space="preserve"> CÔNG TY CỔ PHẦN XÂY DỰNG VÀ THƯƠNG MẠI AGC VIỆT NAM</t>
  </si>
  <si>
    <t>0106499068</t>
  </si>
  <si>
    <t>Số 20 đường Liên Cơ tổ 19 - Phường Cầu Diễn - Quận Nam Từ Liêm - Hà Nội.</t>
  </si>
  <si>
    <t>agcvietnam.jsc@gmail.com</t>
  </si>
  <si>
    <t xml:space="preserve"> CÔNG TY TNHH ĐẦU TƯ BẤT ĐỘNG SẢN PHÚ THÀNH</t>
  </si>
  <si>
    <t>Hương 0348072721</t>
  </si>
  <si>
    <t>CÔNG TY CỔ PHẦN TƯ VẤN VÀ XÂY DỰNG PHÚC SƠN</t>
  </si>
  <si>
    <t>số nhà 5 D ngõ 204 Kim Giang - Phường Đại Kim - Quận Hoàng Mai - Hà Nội.</t>
  </si>
  <si>
    <t>0105038106</t>
  </si>
  <si>
    <t>Số nhà 12, ngách 33, ngõ 282, đường Kim Giang - Phường Đại Kim - Quận Hoàng Mai - Hà Nội.</t>
  </si>
  <si>
    <t xml:space="preserve"> CÔNG TY TNHH SẢN XUẤT VÀ THƯƠNG MẠI DỊCH VỤ TIỀN PHONG</t>
  </si>
  <si>
    <t>CÔNG TY TNHH XÂY DỰNG VÀ ĐẦU TƯ THUẬN PHÁT</t>
  </si>
  <si>
    <t>Đội 5, thôn Trát Cầu - Xã Tiền Phong - Huyện Thường Tín - Hà Nội.</t>
  </si>
  <si>
    <t>0103906075</t>
  </si>
  <si>
    <t>Bùi Hướng</t>
  </si>
  <si>
    <t>0105838166</t>
  </si>
  <si>
    <t>CÔNG TY CỔ PHẦN TƯ VẤN THIẾT KẾ CÔNG NGHIỆP VIỆT NAM</t>
  </si>
  <si>
    <t>Lô A2CN8 cụm công nghiệp Từ Liêm - Phường Phương Canh - Quận Nam Từ Liêm - Hà Nội.</t>
  </si>
  <si>
    <t>0106945273</t>
  </si>
  <si>
    <t>CÔNG TY CỔ PHẦN ĐẦU TƯ XÂY DỰNG VÀ THƯƠNG MẠI VẠN THUẬN</t>
  </si>
  <si>
    <t xml:space="preserve"> 0107476190</t>
  </si>
  <si>
    <t>Số 98, phố Đặng Xuân Bảng - Phường Đại Kim - Quận Hoàng Mai - Hà Nội.</t>
  </si>
  <si>
    <t xml:space="preserve"> CÔNG TY TNHH PHÁT TRIỂN KHOA HỌC SINH HỌC VÀ VẬT LIỆU NANO</t>
  </si>
  <si>
    <t>0105925348</t>
  </si>
  <si>
    <t>Số 150 phố Trần Bình - Phường Mỹ Đình 2 - Quận Nam Từ Liêm - Hà Nộ</t>
  </si>
  <si>
    <t>c Thúy 0987216171</t>
  </si>
  <si>
    <t xml:space="preserve">thuytran0571@gmail.com </t>
  </si>
  <si>
    <t>CÔNG TY CỔ PHẦN CƠ KHÍ - XÂY DỰNG MINH LONG</t>
  </si>
  <si>
    <t>0106923590</t>
  </si>
  <si>
    <t>ô 101, Lô D, Khu ĐTM Đại Kim � Định Công - Phường Đại Kim - Quận Hoàng Mai - Hà Nội.</t>
  </si>
  <si>
    <t>CÔNG TY LUẬT HỢP DANH ĐÔNG THÀNH</t>
  </si>
  <si>
    <t>P 202, T2, Nhà Đa Năng - TN Trung Yên plaza, số 1 Trung Hòa - Phường Trung Hoà - Quận Cầu Giấy - Hà Nội.</t>
  </si>
  <si>
    <t>0106157339</t>
  </si>
  <si>
    <t xml:space="preserve"> VĂN PHÒNG LUẬT SƯ HUỲNH NAM</t>
  </si>
  <si>
    <t>Số 20 hẻm 6/5 Đội Nhân P.Vĩnh Phúc - Phường Vĩnh Phúc - Quận Ba Đình - Hà Nội.</t>
  </si>
  <si>
    <t>0101377940</t>
  </si>
  <si>
    <t>CÔNG TY TNHH XÂY DỰNG THƯƠNG MẠI 168 HÀ NỘI</t>
  </si>
  <si>
    <t>0106692343</t>
  </si>
  <si>
    <t xml:space="preserve"> Số E7, chợ Đại Từ - Phường Đại Kim - Quận Hoàng Mai - Hà Nội.</t>
  </si>
  <si>
    <t>CÔNG TY CỔ PHẦN THƯƠNG MẠI XÂY DỰNG SỐ 2 THỦ ĐÔ</t>
  </si>
  <si>
    <t>0108143860</t>
  </si>
  <si>
    <t>Số 450 đường Kim Giang - Xã Thanh Liệt - Huyện Thanh Trì - Hà Nội.</t>
  </si>
  <si>
    <t>CÔNG TY TNHH SML TOÀN CẦU</t>
  </si>
  <si>
    <t>Số 34 ngõ 57 Nguyễn Khánh Toàn - Phường Dịch Vọng - Quận Cầu Giấy - Hà Nội.</t>
  </si>
  <si>
    <t>0107697746</t>
  </si>
  <si>
    <t>CÔNG TY CỔ PHẦN TƯ VẤN ĐẦU TƯ TIẾN THÀNH</t>
  </si>
  <si>
    <t>0106796945</t>
  </si>
  <si>
    <t>Số 50, Tổ 1 Tu Hoàng - Phường Phương Canh - Quận Nam Từ Liêm - Hà Nội.</t>
  </si>
  <si>
    <t>25/08/2020 FT20238007934493\MNR 10321656622015 MST 0106796945 cty cp tu van dau tu tien thanh  500,000</t>
  </si>
  <si>
    <t>CÔNG TY TNHH XUẤT NHẬP KHẨU VÀ CÔNG NGHỆ ÁNH DƯƠNG</t>
  </si>
  <si>
    <t>Số 32, phố Đại Từ - Phường Đại Kim - Quận Hoàng Mai - Hà Nội.</t>
  </si>
  <si>
    <t>0106480035</t>
  </si>
  <si>
    <t xml:space="preserve"> CÔNG TY TNHH HALLO MEDIA</t>
  </si>
  <si>
    <t>Tầng 3, số 30 Phố Ngô Quyền - Phường Hàng Bài - Quận Hoàn Kiếm - Hà Nội.</t>
  </si>
  <si>
    <t xml:space="preserve"> 0108001182</t>
  </si>
  <si>
    <t>thuytran0571@gmail.com</t>
  </si>
  <si>
    <t xml:space="preserve"> CÔNG TY TRÁCH NHIỆM HỮU HẠN THƯƠNG MẠI TÂN VĨNH TÂN</t>
  </si>
  <si>
    <t>Số 3 ngõ 219 đường Đội Cấn - Phường Đội Cấn - Quận Ba Đình - Hà Nội.</t>
  </si>
  <si>
    <t>0107755733</t>
  </si>
  <si>
    <t>C.Ngọc: 0904396004</t>
  </si>
  <si>
    <t>do.yenngoc@gmail.com</t>
  </si>
  <si>
    <t xml:space="preserve"> CÔNG TY CỔ PHẦN THƯƠNG MẠI DỊCH VỤ HOÀNG ĐẾ</t>
  </si>
  <si>
    <t>Số 1B, phố Ngũ Xã - Phường Trúc Bạch - Quận Ba Đình - Hà Nội.</t>
  </si>
  <si>
    <t>0105077465</t>
  </si>
  <si>
    <t>Phùng Thị Thu Trang (0984306868)</t>
  </si>
  <si>
    <t xml:space="preserve"> tvcuong76@gmail.com và thêm: trangptt.hoangdejsc@gmail.com</t>
  </si>
  <si>
    <t>CÔNG TY CỔ PHẦN MA SECI VIỆT NAM</t>
  </si>
  <si>
    <t>Tập thể xây lắp 4, tổ 10 - Phường Mỹ Đình 2 - Quận Nam Từ Liêm - Hà Nội.</t>
  </si>
  <si>
    <t xml:space="preserve"> 0107065842</t>
  </si>
  <si>
    <t>Nguyệt: 0968031511</t>
  </si>
  <si>
    <t>ketoan.saito@gmail.com</t>
  </si>
  <si>
    <t>CÔNG TY CP TẬP ĐOÀN SƠN SAITO NHẬT BẢN</t>
  </si>
  <si>
    <t>0108046063</t>
  </si>
  <si>
    <t>Căn hộ 01 nhà dãy 2, khu tập thể xí nghiệp xây lắp 4, tổ 10 - Phường Mỹ Đình 2 - Quận Nam Từ Liêm - Hà Nội.</t>
  </si>
  <si>
    <t>CÔNG TY CỔ PHẦN ĐẦU TƯ SẢN XUẤT VÀ THƯƠNG MẠI SONG LINH</t>
  </si>
  <si>
    <t xml:space="preserve"> 0107467830</t>
  </si>
  <si>
    <t>Số 16/20/61, phố Bằng Liệt - Phường Hoàng Liệt - Quận Hoàng Mai - Hà Nội.</t>
  </si>
  <si>
    <t>Dangthuy200191@gmail.com</t>
  </si>
  <si>
    <t>31/08/2020 FT20244972913540\LDM 10321656622015 0107467830 thanh toan goi ei100  500,000</t>
  </si>
  <si>
    <t>CÔNG TY TNHH XÂY DỰNG ABM VIỆT NAM</t>
  </si>
  <si>
    <t>0108283988</t>
  </si>
  <si>
    <t>Tổ 2 - Phường Lĩnh Nam - Quận Hoàng Mai - Hà Nội.</t>
  </si>
  <si>
    <t>CÔNG TY TNHH HỌC VIỆN GOLF VGS</t>
  </si>
  <si>
    <t>0108372797</t>
  </si>
  <si>
    <t>Tầng 3, sân tập golf Phương Đông, đường Tân Mỹ - Phường Cầu Diễn - Quận Nam Từ Liêm - Hà Nội.</t>
  </si>
  <si>
    <t>ms trang 0979028162</t>
  </si>
  <si>
    <t>mcgolfvn21@gmail.com</t>
  </si>
  <si>
    <t>CÔNG TY CỔ PHẦN QUỐC TẾ SHINO</t>
  </si>
  <si>
    <t>0106341151</t>
  </si>
  <si>
    <t>Thôn ải - Xã Di Trạch - Huyện Hoài Đức - Hà Nội.</t>
  </si>
  <si>
    <t>Mai anh 0971262994</t>
  </si>
  <si>
    <t>maianh.greenoffice@gmail.com</t>
  </si>
  <si>
    <t>CÔNG TY TNHH PHÁT TRIỂN KINH DOANH THƯƠNG MẠI TÂN TRƯỜNG SƠN</t>
  </si>
  <si>
    <t>0106514830</t>
  </si>
  <si>
    <t>Số nhà 110B ngõ 422 Trương Định - Phường Tân Mai - Quận Hoàng Mai - Hà Nội.</t>
  </si>
  <si>
    <t>Số Sđt: 0387673876</t>
  </si>
  <si>
    <t>Email: company.tantruongson@gmail.com</t>
  </si>
  <si>
    <t>CÔNG TY CỔ PHẦN ĐẦU TƯ ĐỊA ỐC VNPLUS</t>
  </si>
  <si>
    <t>tầng 1, tháp B tòa nhà The Light (mặt đường tố hữu) khu đô t - Phường Trung Văn - Quận Nam Từ Liêm - Hà Nội.</t>
  </si>
  <si>
    <t>0107688050</t>
  </si>
  <si>
    <t>sdt 0947944705</t>
  </si>
  <si>
    <t>dautuvnplus@gmail.com</t>
  </si>
  <si>
    <t>CÔNG TY TNHH DỊCH VỤ THÔNG TIN - THƯ VIỆN</t>
  </si>
  <si>
    <t>0104283225</t>
  </si>
  <si>
    <t>351, A12 tập thể Khương Thượng - Phường Trung Tự - Quận Đống đa - Hà Nội.</t>
  </si>
  <si>
    <t xml:space="preserve"> CÔNG TY CỔ PHẦN PHẦN ĐẦU TƯ VÀ THƯƠNG MẠI HUY KHÁNH</t>
  </si>
  <si>
    <t>0106803494</t>
  </si>
  <si>
    <t>a Kiên 0973223458</t>
  </si>
  <si>
    <t>Kientv1980@gmail.com</t>
  </si>
  <si>
    <t>Số 23 ngõ 39 đình thôn, mỹ đình 1, nam từ liêm, hà nội</t>
  </si>
  <si>
    <t>CÔNG TY TNHH THƯƠNG MẠI DỊCH VỤ CÔNG NGHỆ TUẤN VIỆT</t>
  </si>
  <si>
    <t>0102800647</t>
  </si>
  <si>
    <t>P22 , Phòng 208, ngõ 260 phường Tân Mai - - Quận Hoàng Mai - Hà Nội.</t>
  </si>
  <si>
    <t>CÔNG TY CỔ PHẦN NGSI</t>
  </si>
  <si>
    <t xml:space="preserve"> 0108578893</t>
  </si>
  <si>
    <t>B4-12A, Dự án Khu chức năng đô thị thành phố Xanh, đường Hàm - Phường Cầu Diễn - Quận Nam Từ Liêm - Hà Nội.</t>
  </si>
  <si>
    <t>CÔNG TY CỔ PHẦN ĐẦU TƯ PHÁT TRIỂN THƯƠNG MẠI TÂN THÀNH PHÁT</t>
  </si>
  <si>
    <t>0109302552</t>
  </si>
  <si>
    <t>Số 9 Ngách 49/5 Ngõ 49 Đường Ngọc Hồi - Phường Hoàng Liệt - Quận Hoàng Mai - Hà Nội.</t>
  </si>
  <si>
    <t>free 200</t>
  </si>
  <si>
    <t xml:space="preserve"> CÔNG TY TNHH PHÁT TRIỂN ĐẦU TƯ MINH DƯƠNG</t>
  </si>
  <si>
    <t xml:space="preserve">Số 2/8 ngõ P2 đường Lê Quang Đạo - Phường Phú Đô - Quận Nam Từ Liêm - Hà Nội.
</t>
  </si>
  <si>
    <t xml:space="preserve"> 0107348706</t>
  </si>
  <si>
    <t xml:space="preserve"> CÔNG TY TNHH NƯỚC VÀ MÔI TRƯỜNG LONG VIỆT</t>
  </si>
  <si>
    <t>0102342517</t>
  </si>
  <si>
    <t>Số 45, ngõ 102, đường Khuất Duy Tiến - Phường Nhân Chính - Quận Thanh Xuân - Hà Nội.</t>
  </si>
  <si>
    <t xml:space="preserve"> CÔNG TY TNHH THỂ THAO VÀ GIẢI TRÍ ÁI QUỐC</t>
  </si>
  <si>
    <t>Tầng 3, Sân tập Golf Phương Đông, phố Tân Mỹ - Phường Cầu Diễn - Quận Nam Từ Liêm - Hà Nội.</t>
  </si>
  <si>
    <t xml:space="preserve"> 0107798952</t>
  </si>
  <si>
    <t>31/08/2020 FT20244973043356\BNK 10321656622015 CT AIQUOC 0107798952 TT chi phi HD dien tu  500,000</t>
  </si>
  <si>
    <t xml:space="preserve"> CÔNG TY CỔ PHẦN THƯƠNG MẠI DỊCH VỤ VÀ XÂY LẮP EVAP</t>
  </si>
  <si>
    <t>Số 11B, ngõ 615, đường Lĩnh Nam - Phường Lĩnh Nam - Quận Hoàng Mai - Hà Nội.</t>
  </si>
  <si>
    <t>0106187037</t>
  </si>
  <si>
    <t>Evapcompany@gmail.com</t>
  </si>
  <si>
    <t>29/08/2020 FT20242193053087\LNM 10321656622015 MST 0106187037 thanh toan hoa don e i100  500,000 1</t>
  </si>
  <si>
    <t>CÔNG TY TNHH SẢN XUẤT THƯƠNG MẠI VÀ XÂY DỰNG ĐÔNG PHƯƠNG</t>
  </si>
  <si>
    <t>0106203105</t>
  </si>
  <si>
    <t>Số 289 đường Phúc Diễn - Phường Xuân Phương - Quận Nam Từ Liêm - Hà Nội.</t>
  </si>
  <si>
    <t>Nguyenluong05@gmail.com</t>
  </si>
  <si>
    <t>CÔNG TY LUẬT TNHH NHẤT AN</t>
  </si>
  <si>
    <t>Phòng 6, tầng 6 (tháp B) tòa nhà CTM Complex, 139 Cầu Giấy - Phường Quan Hoa - Quận Cầu Giấy - Hà Nội.</t>
  </si>
  <si>
    <t>0106894928</t>
  </si>
  <si>
    <t xml:space="preserve"> 0104738899</t>
  </si>
  <si>
    <t>số 7 ngõ 227/14 đường k2 cầu diễn nam tl HN</t>
  </si>
  <si>
    <t>CỬA HÀNG XĂNG DẦU VĂN GIÁP</t>
  </si>
  <si>
    <t xml:space="preserve"> 0500315431</t>
  </si>
  <si>
    <t>Chi cục Thuế khu vực Thường Tín - Phú Xuyên</t>
  </si>
  <si>
    <t xml:space="preserve"> CÔNG TY TNHH KINH DOANH XĂNG DẦU MINH HIẾN</t>
  </si>
  <si>
    <t>0500417803</t>
  </si>
  <si>
    <t>Đường 472 cầu chiếc, thôn nhân Hiền, xã Hiền Giang - Xã Hiền Giang - Huyện Thường Tín - Hà Nội.</t>
  </si>
  <si>
    <t xml:space="preserve"> CÔNG TY CỔ PHẦN PHÁT TRIỂN NGUỒN LỰC ĐẤT VIỆT</t>
  </si>
  <si>
    <t>0868030753-a Trí</t>
  </si>
  <si>
    <t>CÔNG TY TNHH THƯƠNG MẠI VÀ VẬN TẢI TÂN PHÚ MINH</t>
  </si>
  <si>
    <t xml:space="preserve"> 0105798153</t>
  </si>
  <si>
    <t>Số 493F, ngõ 493 đường Trương Định - Phường Tân Mai - Quận Hoàng Mai - Hà Nội.</t>
  </si>
  <si>
    <t>chị Hương-0935794160</t>
  </si>
  <si>
    <t>CÔNG TY TNHH ĐẦU TƯ VÀ PHÂN PHỐI THƯƠNG MẠI HOÀNG NGÂN</t>
  </si>
  <si>
    <t>0108135468</t>
  </si>
  <si>
    <t>17 Ngách 173/59 Hoàng Hoa Thám - Phường Ngọc Hà - Quận Ba Đình - Hà Nội.</t>
  </si>
  <si>
    <t>Anh Hà 0945579968</t>
  </si>
  <si>
    <t>suhoangngan@gmail.com</t>
  </si>
  <si>
    <t>CÔNG TY TNHH SẢN XUẤT VÀ THƯƠNG MẠI TTH VIỆT NAM</t>
  </si>
  <si>
    <t>0106875523 - TTH
tthvietnam@gmail.com
Phạm thị loan, ngõ đề xóm 3, lương qui, xuân nộn, đông anh, hn
0961885619</t>
  </si>
  <si>
    <t>0106875523</t>
  </si>
  <si>
    <t xml:space="preserve"> 0106848431</t>
  </si>
  <si>
    <t>CÔNG TY TNHH THƯƠNG MẠI VÀ DU LỊCH TÍCH TẮC</t>
  </si>
  <si>
    <t>nthang09.han@gdt.gov.vn</t>
  </si>
  <si>
    <t>Hằng đội kiểm tra Chi cục thuế Nam Từ Liêm 0911110983
số 4 Nguyễn Cơ Thạch, Nam Từ Liêm, HN</t>
  </si>
  <si>
    <t>CÔNG TY TNHH ĐẦU TƯ SẢN XUẤT VÀ DỊCH VỤ THƯƠNG MẠI NGỌC LINH</t>
  </si>
  <si>
    <t>0106670251</t>
  </si>
  <si>
    <t>doanhnguyet81@gmail.com
0983837486</t>
  </si>
  <si>
    <t xml:space="preserve"> CÔNG TY CỔ PHẦN CÔNG NGHIỆP XÂY DỰNG CƠ ĐIỆN CME</t>
  </si>
  <si>
    <t xml:space="preserve"> 0106151739</t>
  </si>
  <si>
    <t>Số 44, ngách 89/19,phố Bằng Liệt - Phường Hoàng Liệt - Quận Hoàng Mai - Hà Nội.</t>
  </si>
  <si>
    <t>CÔNG TY TNHH VINETPHARMA</t>
  </si>
  <si>
    <t>0104967786</t>
  </si>
  <si>
    <t>CÔNG TY CỔ PHẦN SẢN XUẤT VÀ KINH DOANH T&amp;T ĐẠI LỘC</t>
  </si>
  <si>
    <t>0106547480</t>
  </si>
  <si>
    <t xml:space="preserve"> CÔNG TY TNHH JOGER VIỆT NAM</t>
  </si>
  <si>
    <t>0107904368</t>
  </si>
  <si>
    <t>CÔNG TY CỔ PHẦN S77 HÀ NỘI</t>
  </si>
  <si>
    <t>Số 90 Đặng Xuân Bảng - Phường Đại Kim - Quận Hoàng Mai - Hà Nội.</t>
  </si>
  <si>
    <t>0107004857</t>
  </si>
  <si>
    <t>CÔNG TY CỔ PHẦN THƯƠNG MẠI VÀ DỊCH VỤ VĂN XUÂN</t>
  </si>
  <si>
    <t>Số nhà 801 phố Trương Định, phường Thịnh Liệt - Phường Thịnh Liệt - Quận Hoàng Mai - Hà Nội.</t>
  </si>
  <si>
    <t>0104095687</t>
  </si>
  <si>
    <t xml:space="preserve"> CÔNG TY CỔ PHẦN SX&amp;TM VINH PHÁT</t>
  </si>
  <si>
    <t>0107507402</t>
  </si>
  <si>
    <t>0107030536</t>
  </si>
  <si>
    <t>CÔNG TY TNHH PPKA VINA</t>
  </si>
  <si>
    <t xml:space="preserve"> CÔNG TY TNHH XÂY DỰNG VÀ CUNG ỨNG THUẬN THÀNH</t>
  </si>
  <si>
    <t xml:space="preserve"> 0107719848</t>
  </si>
  <si>
    <t>Số 61 TT20, khu đô thị Văn Phú - Phường Phú La - Quận Hà Đông - Hà Nội.</t>
  </si>
  <si>
    <t>CÔNG TY TNHH MỘT THÀNH VIÊN ĐẦU TƯ XÂY LẮP TDC</t>
  </si>
  <si>
    <t>Số 8 ngách 63/124 Lê Đức Thọ - Phường Mỹ Đình 1 - Quận Nam Từ Liêm - Hà Nội.</t>
  </si>
  <si>
    <t>0106132214</t>
  </si>
  <si>
    <t>a Nam 0866430701</t>
  </si>
  <si>
    <t>thanhnampham0@gmail.com</t>
  </si>
  <si>
    <t>CÔNG TY TNHH LÒ XO YU TIEN VIỆT NAM</t>
  </si>
  <si>
    <t>Xóm Ngoài - Xã Uy Nỗ - Huyện Đông Anh - Hà Nội.</t>
  </si>
  <si>
    <t>0107457670</t>
  </si>
  <si>
    <t>Ck khách 607300</t>
  </si>
  <si>
    <t>0945104868 CHị Thùy</t>
  </si>
  <si>
    <t xml:space="preserve"> CÔNG TY CỔ PHẦN ĐT VÀ TM NGUYỄN HOÀNG PHÁT</t>
  </si>
  <si>
    <t>HỢP TÁC XÃ CÔNG NGHIỆP NGHĨA THÀNH</t>
  </si>
  <si>
    <t>0100362525</t>
  </si>
  <si>
    <t>Số 89 B Nguyễn Khuyến - Phường Văn Miếu - Quận Đống đa - Hà Nội.</t>
  </si>
  <si>
    <t>CHI NHÁNH TẠI THÀNH PHỐ HỒ CHÍ MINH - CÔNG TY TNHH PHÁT TRIỂN THƯƠNG MẠI TRẦN GIA</t>
  </si>
  <si>
    <t>Hằng Bùi CKS</t>
  </si>
  <si>
    <t xml:space="preserve"> 0106719838-001</t>
  </si>
  <si>
    <t>65/29 Đường 339 - Phường Phước Long B - Quận 9 - TP Hồ Chí Minh.</t>
  </si>
  <si>
    <t>Mailinhfoyer@gmail.com</t>
  </si>
  <si>
    <t>24/08/2020 FT20237A02001761\XNV 10321656622015 (B/O CTY TNHH LO XO YU TIEN VIET NAM) 0107457670 CTY TNHH LO XO YU TIEN VN TT TIEN GIA HAN CHU KY SO  2,300,000</t>
  </si>
  <si>
    <t>CÔNG TY TNHH DỊCH VỤ CÔNG NGHỆ TÙNG BÁCH</t>
  </si>
  <si>
    <t>Số 2 ngõ 121 phố Quan Hoa - Phường Quan Hoa - Quận Cầu Giấy - Hà Nội.</t>
  </si>
  <si>
    <t>0107577992</t>
  </si>
  <si>
    <t>CÔNG TY TNHH CÔNG NGHỆ PHẠM THẮNG</t>
  </si>
  <si>
    <t>0107618857</t>
  </si>
  <si>
    <t>CÔNG TY CỔ PHẦN ĐẦU TƯ THƯƠNG MẠI CÔNG NGHỆ ESON</t>
  </si>
  <si>
    <t>0104207626</t>
  </si>
  <si>
    <t>Tầng 6A, tòa nhà Kinh Đô, 292 Tây Sơn - Phường Trung Liệt - Quận Đống đa - Hà Nội.</t>
  </si>
  <si>
    <t>0973223275 Chị Hương</t>
  </si>
  <si>
    <t>0936924788 Chị Mai</t>
  </si>
  <si>
    <t xml:space="preserve"> CÔNG TY CỔ PHẦN TƯ VẤN ĐẦU TƯ VÀ THIẾT KẾ XÂY DỰNG KITAKA</t>
  </si>
  <si>
    <t>0104239385</t>
  </si>
  <si>
    <t>Số 16, lô 1B, khu đô thị Trung Yên - Phường Trung Hoà - Quận Cầu Giấy - Hà Nội.</t>
  </si>
  <si>
    <t>28/08/2020 FT20241A02002578\XNV 10321656622015 (B/O NGUYEN THI HUONG) CTCP TU VAN DAU TU VA THIET KE XD KITAKA.MST 0104239385.CHUYEN TIEN DICH VU CHUNG THU SO CA2  1,100,000</t>
  </si>
  <si>
    <t xml:space="preserve"> CÔNG TY TNHH MANFIELD COATINGS VIỆT NAM</t>
  </si>
  <si>
    <t xml:space="preserve"> 2700898544</t>
  </si>
  <si>
    <t>Lô CN10, Cụm Công nghiệp Gia Phú - Xã Gia Phú - Huyện Gia Viễn - Ninh Bình.</t>
  </si>
  <si>
    <t>Đã tt Nacencomm</t>
  </si>
  <si>
    <t>CÔNG TY CỔ PHẦN XUẤT NHẬP KHẨU Ô TÔ HÀ NỘI</t>
  </si>
  <si>
    <t>Lô 4, khu 1, tập thể cục cảnh sát kinh tế - Phường Xuân La - Quận Tây Hồ - Hà Nội.</t>
  </si>
  <si>
    <t>0102694886</t>
  </si>
  <si>
    <t>CÔNG TY TNHH GIÁO DỤC ĐĂNG DƯƠNG</t>
  </si>
  <si>
    <t>0107487474</t>
  </si>
  <si>
    <t>Khu dự án nhà ở Quân Đội Thạch Bàn, Tổ 9 - Phường Thạch Bàn - Quận Long Biên - Hà Nội.</t>
  </si>
  <si>
    <t>TT Cho Long đã trừ 45%</t>
  </si>
  <si>
    <t>Chuyển tháng 9</t>
  </si>
  <si>
    <t>Chuyển đối soát tháng 9</t>
  </si>
  <si>
    <t>CÔNG TY CỔ PHẦN THÁI HÀ AN</t>
  </si>
  <si>
    <t>Chuyển thẩm định tháng 9</t>
  </si>
  <si>
    <t>CÔNG TY TNHH SX VÀ TM ỔN ÁP NHẬT LINH – VIỆT NAM</t>
  </si>
  <si>
    <t>0107794362</t>
  </si>
  <si>
    <t>Số nhà 28, ngách 33 ngõ 126 đường Nam Dư - Phường Lĩnh Nam - Quận Hoàng Mai - Hà Nội.</t>
  </si>
  <si>
    <t>Congtylioa167@gmail.com</t>
  </si>
  <si>
    <t>31/08/2020 FT20244899880257\LNM 10321656622015 Mst 0107794362 tt goi ei2000  1,600,000</t>
  </si>
  <si>
    <t>TT TK Long 800K</t>
  </si>
  <si>
    <t>CÔNG TY CỔ PHẦN SẢN XUẤT VÀ THƯƠNG MẠI THỰC PHẨM ANH MINH</t>
  </si>
  <si>
    <t>Khu 6, thôn Thụy Lôi, - Xã Thuỵ Lâm - Huyện Đông Anh - Hà Nội.</t>
  </si>
  <si>
    <t>0109295305</t>
  </si>
  <si>
    <t>Chị Cúc: 0977499771</t>
  </si>
  <si>
    <t>Lecucriam@gmail.com</t>
  </si>
  <si>
    <t>CÔNG TY TNHH ĐẦU TƯ THƯƠNG MẠI VÀ PHÁT TRIỂN CÔNG NGHỆ INSIGHTECH</t>
  </si>
  <si>
    <t>0109320449</t>
  </si>
  <si>
    <t>Số 14 phố Đường Thành - Phường Cửa Đông - Quận Hoàn Kiếm - Hà Nội.</t>
  </si>
  <si>
    <t>0386341997'</t>
  </si>
  <si>
    <t>enteco.vn@gmail.com</t>
  </si>
  <si>
    <t xml:space="preserve"> CÔNG TY CỔ PHẦN GIẦY PHÚC YÊN</t>
  </si>
  <si>
    <t>Đường Trần Phú - Phường Phúc Thắng - Thành phố Phúc Yên - Vĩnh Phúc.</t>
  </si>
  <si>
    <t>2500239696</t>
  </si>
  <si>
    <t>: 0974554307</t>
  </si>
  <si>
    <t>CÔNG TY CỔ PHẦN SẢN XUẤT VÀ THƯƠNG MẠI KHẢI HƯNG</t>
  </si>
  <si>
    <t>5400341099</t>
  </si>
  <si>
    <t>Thôn Cời - Xã Tân Vinh - Huyện Lương Sơn - Hòa Bình.</t>
  </si>
  <si>
    <t>0916009619 Anh Khanh</t>
  </si>
  <si>
    <t>CK 177000</t>
  </si>
  <si>
    <t>CÔNG TY CỔ PHẦN SẢN XUẤT &amp; THƯƠNG MẠI HTK FOOD</t>
  </si>
  <si>
    <t>Căn 12-B, khu nhà ở thấp tầng, lô A10 khu đô thị Nam Trung Y, - Phường Yên Hoà - Quận Cầu Giấy - Hà Nội.</t>
  </si>
  <si>
    <t>0109292174</t>
  </si>
  <si>
    <t>Đã TT Nacencomm CK Khách 564800</t>
  </si>
  <si>
    <t>CÔNG TY CỔ PHẦN EC</t>
  </si>
  <si>
    <t xml:space="preserve"> 0103563163</t>
  </si>
  <si>
    <t>Số 10B Đồng Nhân (Số 3/17/1 Đồng Nhân) - Phường Đồng Nhân - Quận Hai Bà Trưng - Hà Nội.</t>
  </si>
  <si>
    <t>0981521355 Chị Dun</t>
  </si>
  <si>
    <t>07/09/2020 FT20251A06010573\XNV 10321656622015 (B/O NGUYEN THI YEN) TC:507876305.IBVCB.760576271.MST 0103563163 CTY EC GIA HAN CKS 3 NAM.CT tu 0541000236460 toi 10321656622015 cong ty co phan cong nghe the nacencomm KY THUONG VN (TECHCOMBANK)  2,400,000</t>
  </si>
  <si>
    <t>CÔNG TY CỔ PHẦN TRUYỀN THÔNG DITECH GROUP</t>
  </si>
  <si>
    <t>0109322703</t>
  </si>
  <si>
    <t>Tầng 2, chung cư Viện chiến lược Bộ Công An, Số 5 đường Tú M, - Phường Trung Hoà - Quận Cầu Giấy - Hà Nội.</t>
  </si>
  <si>
    <t>Đã TT tiền mặt cho Long chuyển Chúc</t>
  </si>
  <si>
    <t xml:space="preserve"> CÔNG TY TNHH THANH SƠN</t>
  </si>
  <si>
    <t>5700368380</t>
  </si>
  <si>
    <t>Đường 10 - Phường Quảng Yên - Thị xã Quảng Yên - Quảng Ninh.</t>
  </si>
  <si>
    <t xml:space="preserve"> CÔNG TY CỔ PHẦN SẢN XUẤT MÁY BIẾN ÁP ABA HÀ NỘI</t>
  </si>
  <si>
    <t>Lê Lâm ĐT 0936757889</t>
  </si>
  <si>
    <t>Đã TT cùng cấp mới</t>
  </si>
  <si>
    <t>DOANH NGHIỆP TƯ NHÂN TÂM TÂM</t>
  </si>
  <si>
    <t>Cụm công nghiệp Ngọc Liệp - Xã Ngọc Liệp - Huyện Quốc Oai - Hà Nội.</t>
  </si>
  <si>
    <t>0500587530</t>
  </si>
  <si>
    <t>Đã tt Nacencomm 2.4tr</t>
  </si>
  <si>
    <t xml:space="preserve"> CÔNG TY TNHH KINH DOANH THƯƠNG MẠI VẬN TẢI HÀ PHƯƠNG</t>
  </si>
  <si>
    <t>0201957952</t>
  </si>
  <si>
    <t>Số 2/216 Nguyễn Bình - Phường Đổng Quốc Bình - Quận Ngô Quyền - Hải Phòng.</t>
  </si>
  <si>
    <t xml:space="preserve"> DOANH NGHIỆP TƯ NHÂN VŨ LINH</t>
  </si>
  <si>
    <t xml:space="preserve"> 0400528041</t>
  </si>
  <si>
    <t>Kiêt 1 Tôn Đức Thắng, Tổ 2, P. Thanh Khê Tây - - Quận Thanh Khê - Đà Nẵng.</t>
  </si>
  <si>
    <t xml:space="preserve"> CÔNG TY CỔ PHẦN KIẾN TRÚC XÂY DỰNG VÀ THƯƠNG MẠI THÁI BÌNH DƯƠNG</t>
  </si>
  <si>
    <t>0106493041</t>
  </si>
  <si>
    <t>Số nhà 1, ngách 40, ngõ 44, phố Tư Đình - Phường Long Biên - Quận Long Biên - Hà Nội.</t>
  </si>
  <si>
    <t>0983353118 Chị Ngọc</t>
  </si>
  <si>
    <t>pact.vn@gmail.com</t>
  </si>
  <si>
    <t>CÔNG TY TNHH Ô TÔ DOOSUNG VIỆT NAM</t>
  </si>
  <si>
    <t>2300284356</t>
  </si>
  <si>
    <t>Cụm công nghiệp Hạp Lĩnh - Phường Hạp Lĩnh - Thành phố Bắc Ninh - Bắc Ninh.</t>
  </si>
  <si>
    <t>Nguyễn Minh Hải
Điện thoại: 0984308338</t>
  </si>
  <si>
    <t>ketoandoosung@gmail.comH</t>
  </si>
  <si>
    <t xml:space="preserve"> CÔNG TY TNHH KIẾN TRÚC &amp; NỘI THẤT NET VIỆT</t>
  </si>
  <si>
    <t>5500477696</t>
  </si>
  <si>
    <t>CÔNG TY TNHH XÂY DỰNG TC 79</t>
  </si>
  <si>
    <t>lehagtsl@gmail.com</t>
  </si>
  <si>
    <t>. ĐT 0982 786 508 Chị Hà</t>
  </si>
  <si>
    <t>Khu dân cư Đại Thắng, Tổ 2 - Phường Quyết Tâm - Thành phố Sơn La - Sơn La.</t>
  </si>
  <si>
    <t>CÔNG TY CỔ PHẦN TƯ VẤN XÂY DỰNG THƯƠNG MẠI BẮC VIỆT HƯNG</t>
  </si>
  <si>
    <t xml:space="preserve"> 0105372421</t>
  </si>
  <si>
    <t>Số nhà 35 tổ 13 đường K2 - Phường Cầu Diễn - Quận Nam Từ Liêm - Hà Nội.</t>
  </si>
  <si>
    <t>CÔNG TY TNHH THƯƠNG MẠI - THIẾT BỊ KỸ THUẬT THIÊN ÂN</t>
  </si>
  <si>
    <t>Chị Hậu 
Điện thoại : 0913305227</t>
  </si>
  <si>
    <t>0101470202</t>
  </si>
  <si>
    <t>Số nhà 35 tổ 1, phường Quan Hoa - Phường Quan Hoa - Quận Cầu Giấy - Hà Nội.</t>
  </si>
  <si>
    <t>CÔNG TY TNHH CÔNG NGHIỆP - ẮC QUY TOKYO</t>
  </si>
  <si>
    <t>Số 931 đường Tôn Đức Thắng - Phường Sở Dầu - Quận Hồng Bàng - Hải Phòng.</t>
  </si>
  <si>
    <t>0200606246</t>
  </si>
  <si>
    <t>Chị Ngọc 
Điện thoại : 0904265616</t>
  </si>
  <si>
    <t xml:space="preserve"> CÔNG TY TNHH IN NHÃN MÁC BÌNH MINH</t>
  </si>
  <si>
    <t xml:space="preserve"> CÔNG TY CỔ PHẦN QUẢN LÝ VÀ ĐẦU TƯ XÂY DỰNG ĐƯỜNG BỘ HÀ NỘI</t>
  </si>
  <si>
    <t>CHI NHÁNH CÔNG TY TNHH DỊCH VỤ VÀ THƯƠNG MẠI CHƠN THÀNH - NHÀ MÁY SẢN XUẤT LƯỚI THÉP TIÊN PHONG</t>
  </si>
  <si>
    <t>0303792837-003</t>
  </si>
  <si>
    <t>106 Hoàng Văn Thái - Phường Hoà Khánh Nam - Quận Liên Chiểu - Đà Nẵng.</t>
  </si>
  <si>
    <t xml:space="preserve"> CÔNG TY CỔ PHẦN ĐẦU TƯ THƯƠNG MẠI VÀ DỊCH VỤ SHC VIỆT NAM CHI NHÁNH QUẢNG NINH</t>
  </si>
  <si>
    <t>Chị Vân Anh ANZ</t>
  </si>
  <si>
    <t xml:space="preserve"> 0104288777-006</t>
  </si>
  <si>
    <t>Lô L4-08A, Tầng 4 TTTM Vincom Plaza Hạ Long, Khu Cột đồng hồ - Phường Bạch Đằng - Thành phố Hạ Long - Quảng Ninh.</t>
  </si>
  <si>
    <t>CÔNG TY TNHH ĐIỆN TỬ - ĐIỆN LẠNH LAN PHƯƠNG</t>
  </si>
  <si>
    <t>0101813996</t>
  </si>
  <si>
    <t>Số 10 ngõ 11 đường Nguyễn Quý Đức, - Phường Thanh Xuân Bắc - Quận Thanh Xuân - Hà Nội.</t>
  </si>
  <si>
    <t>0936632388 Chị Lan</t>
  </si>
  <si>
    <t>CÔNG TY TNHH XÂY DỰNG DÂN DỤNG VÀ CÔNG NGHIỆP SÔNG LAM</t>
  </si>
  <si>
    <t xml:space="preserve"> 0106124037</t>
  </si>
  <si>
    <t>Số 7, ngõ 22 Phan Đình Giót - Phường Phương Liệt - Quận Thanh Xuân - Hà Nội.</t>
  </si>
  <si>
    <t xml:space="preserve">sđt 0965959914 </t>
  </si>
  <si>
    <t>CÔNG TY TNHH HOA NAM</t>
  </si>
  <si>
    <t>Khu 3, Bích Nhôi - Phường Minh Tân - Thị xã Kinh Môn - Hải Dương.</t>
  </si>
  <si>
    <t>0800388744</t>
  </si>
  <si>
    <t>Thuy Duong 0968625696</t>
  </si>
  <si>
    <t>CÔNG TY CP MAY XUẤT KHẨU VINA CAPITAL</t>
  </si>
  <si>
    <t>0700654939</t>
  </si>
  <si>
    <t>Xóm 6 - Xã Thi Sơn - Huyện Kim Bảng - Hà Nam.</t>
  </si>
  <si>
    <t>CÔNG TY TNHH DỊCH VỤ THỂ THAO GIẢI TRÍ PHƯƠNG AN</t>
  </si>
  <si>
    <t>74/4H ấp Dân Thắng 1 - Xã Tân Thới Nhì - Huyện Hóc Môn - TP Hồ Chí Minh.</t>
  </si>
  <si>
    <t>0314243388</t>
  </si>
  <si>
    <t xml:space="preserve"> CÔNG TY TNHH HÒA ĐƯỜNG</t>
  </si>
  <si>
    <t>Thửa đất 730, tờ bản đồ 07, Đường ĐT 743, Khu kho bãi Phú Tà - Phường Phú Lợi - Thành phố Thủ Dầu Một - Bình Dương.</t>
  </si>
  <si>
    <t>Vũ Kế toán</t>
  </si>
  <si>
    <t>3702010188</t>
  </si>
  <si>
    <t>CÔNG TY TNHH KHỎE ĐẸP CALI - CHI NHÁNH HÀ NỘI</t>
  </si>
  <si>
    <t>Tầng 2,tòa nhà Somerset West Point Hà Nội, số 2,đường Tây Hồ - Phường Quảng An - Quận Tây Hồ - Hà Nội.</t>
  </si>
  <si>
    <t>0312776408-004</t>
  </si>
  <si>
    <t>TRUNG TÂM GIỐNG NÔNG NGHIỆP TỈNH BÌNH THUẬN</t>
  </si>
  <si>
    <t>Km 1706 Quốc lộ 1A - Xã Phong Nẫm - Thành phố Phan Thiết - Bình Thuận.</t>
  </si>
  <si>
    <t>3401147083</t>
  </si>
  <si>
    <t>CÔNG TY CP ĐẦU TƯ Y TẾ HÀ NỘI - SÀI GÒN</t>
  </si>
  <si>
    <t>2400496435</t>
  </si>
  <si>
    <t>Lô YT, Khu dân cư phía Nam - Phường Dĩnh Kế - Thành phố Bắc Giang - Bắc Giang.</t>
  </si>
  <si>
    <t>Ngân 0918646280</t>
  </si>
  <si>
    <t>0965665093 Chị Hân</t>
  </si>
  <si>
    <t>CÔNG TY CỔ PHẦN CÔNG NGHỆ VÀ TRUYỀN THÔNG HEMERA</t>
  </si>
  <si>
    <t>0108033868</t>
  </si>
  <si>
    <t>Tầng 9, TTTM Vân Hồ, Số 51, Phố Lê Đại Hành - Phường Lê Đại Hành - Quận Hai Bà Trưng - Hà Nội.</t>
  </si>
  <si>
    <t>0989784695 Chị Hằng</t>
  </si>
  <si>
    <t>CÔNG TY CP QUÝ PHÁT</t>
  </si>
  <si>
    <t>2300564970</t>
  </si>
  <si>
    <t>Số 313, đường Trần Phú - Phường Đông Ngàn - Thị xã Từ Sơn - Bắc Ninh.</t>
  </si>
  <si>
    <t>CÔNG TY TNHH KỸ THUẬT CƠ KHÍ TP</t>
  </si>
  <si>
    <t>3702640221</t>
  </si>
  <si>
    <t>Số 140/40, đường Nguyễn Thị Minh Khai, khu phố Đông Chiêu - PhườngTân Đông Hiệp - Thành phố Dĩ An - Bình Dương.</t>
  </si>
  <si>
    <t xml:space="preserve"> 0306571032</t>
  </si>
  <si>
    <t>Thửa đất số 664, tờ bản đồ số 36, ấp Vườn Vũ - Xã Tân Mỹ - Huyện Bắc Tân Uyên - Bình Dương.</t>
  </si>
  <si>
    <t>CÔNG TY TNHH SKY TECH VIỆT NAM</t>
  </si>
  <si>
    <t>Lô 33 Khu Bồ Sơn - Phường Võ Cường - Thành phố Bắc Ninh - Bắc Ninh.</t>
  </si>
  <si>
    <t>0107506649</t>
  </si>
  <si>
    <t>0972404497 Chị Hồng</t>
  </si>
  <si>
    <t>CÔNG TY TNHH NƯỚC VÀ MÔI TRƯỜNG LONG VIỆT</t>
  </si>
  <si>
    <t>Mai  0915136822</t>
  </si>
  <si>
    <t>CÔNG TY TNHH ĐẦU TƯ VÀ PHÁT TRIỂN CÔNG NGHỆ</t>
  </si>
  <si>
    <t>0100511551</t>
  </si>
  <si>
    <t>Số 11 đường Phạm Hùng - Phường Mỹ Đình 2 - Quận Nam Từ Liêm - Hà Nội.</t>
  </si>
  <si>
    <t xml:space="preserve"> CÔNG TY CỔ PHẦN D - GLOBAL</t>
  </si>
  <si>
    <t>A50 TT17 Khu đô thị Văn Quán - Phường Phúc La - Quận Hà Đông - Hà Nội.</t>
  </si>
  <si>
    <t>0102848310</t>
  </si>
  <si>
    <t>TRUNG TÂM MỸ THUẬT VÀ TRANG TRÍ NỘI NGOẠI THẤT - CHI NHÁNH CÔNG TY CỔ PHẦN XUẤT NHẬP KHẨU VĂN HOÁ PHẨM</t>
  </si>
  <si>
    <t xml:space="preserve"> 0100109988-001</t>
  </si>
  <si>
    <t>CÔNG TY TNHH HÓA CHẤT VIC VIỆT NAM</t>
  </si>
  <si>
    <t>Số nhà 15B, ngõ 248 Đại Từ - Phường Đại Kim - Quận Hoàng Mai - Hà Nội.</t>
  </si>
  <si>
    <t>0107776476</t>
  </si>
  <si>
    <t>0989173786 Đức</t>
  </si>
  <si>
    <t>CÔNG TY TNHH VẬN TẢI LẮP MÁY LAN ANH</t>
  </si>
  <si>
    <t>0105021800</t>
  </si>
  <si>
    <t>Số 27, ngõ 9, đường Nguyễn Văn Linh - Phường Gia Thuỵ - Quận Long Biên - Hà Nội.</t>
  </si>
  <si>
    <t>CÔNG TY TNHH CÂY XANH TUẤN TIẾN</t>
  </si>
  <si>
    <t>2400819809</t>
  </si>
  <si>
    <t>Thôn Tam Đồng - Xã Đoan Bái - Huyện Hiệp Hoà - Bắc Giang.</t>
  </si>
  <si>
    <t>CÔNG TY CỔ PHẦN TÀU BIỂN THÀNH ĐẠT</t>
  </si>
  <si>
    <t>0102589923</t>
  </si>
  <si>
    <t>Số 33 ngõ 318 Đê La Thành - Phường ô Chợ Dừa - Quận Đống đa - Hà Nội.</t>
  </si>
  <si>
    <t xml:space="preserve">Thảo 0986251753 </t>
  </si>
  <si>
    <t>CÔNG TY TNHH CÔNG NGHỆ VÀ DU LỊCH THƯƠNG MẠI ĐIỆN LỰC</t>
  </si>
  <si>
    <t>0109322566</t>
  </si>
  <si>
    <t>Số 292 Lê Duẩn - Phường Trung Phụng - Quận Đống đa - Hà Nội.</t>
  </si>
  <si>
    <t>CÔNG TY TNHH MỘT THÀNH VIÊN 76</t>
  </si>
  <si>
    <t>Xã Kiêu Kỵ - Xã Kiêu Kỵ - Huyện Gia Lâm - Hà Nội.</t>
  </si>
  <si>
    <t>0100598859</t>
  </si>
  <si>
    <t>0943623288 Anh Linh</t>
  </si>
  <si>
    <t>linhtd@z76.vn</t>
  </si>
  <si>
    <t>CÔNG TY CỔ PHẦN KIẾN TRÚC ĐƯỜNG SẮT</t>
  </si>
  <si>
    <t>0103033582</t>
  </si>
  <si>
    <t>Số 23, ngõ 208, đường Tam Trinh - Phường Yên Sở - Quận Hoàng Mai - Hà Nội.</t>
  </si>
  <si>
    <t>Luyến Tống Saco
Chị Luyến ,0963871908</t>
  </si>
  <si>
    <t>CÔNG TY CỔ PHẦN PHÁT TRIỂN CÔNG NGHỆ VÀ XÂY DỰNG VIỆT THÀNH</t>
  </si>
  <si>
    <t>0105409914</t>
  </si>
  <si>
    <t>Số 86 phố Lê Lai - Phường Nguyễn Trãi - Quận Hà Đông - Hà Nội.</t>
  </si>
  <si>
    <t>sđt : 0392888777</t>
  </si>
  <si>
    <t xml:space="preserve">
Thôn Hậu Dưỡng - Xã Kim Chung - Huyện Đông Anh - Hà Nội.</t>
  </si>
  <si>
    <t>CÔNG TY CỔ PHẦN CÔN TRÙNG ĐẤT VIỆT</t>
  </si>
  <si>
    <t>0369786468</t>
  </si>
  <si>
    <t>CÔNG TY TNHH MỘT THÀNH VIÊN CHĂN NUÔI HÒA YÊN</t>
  </si>
  <si>
    <t>Thôn Khe Lụa - Xã Lương Thịnh - Huyện Trấn Yên - Yên Bái.</t>
  </si>
  <si>
    <t>5200823426</t>
  </si>
  <si>
    <t>CÔNG TY CỔ PHẦN CẦU ĐUỐNG VIỆT NAM</t>
  </si>
  <si>
    <t>0107685109</t>
  </si>
  <si>
    <t>Thôn Du Ngoại - Xã Mai Lâm - Huyện Đông Anh - Hà Nội.</t>
  </si>
  <si>
    <t xml:space="preserve"> CÔNG TY TNHH ĐIỆN TỬ SUNVI</t>
  </si>
  <si>
    <t xml:space="preserve">CÔNG TY TNHH VISCO VINA </t>
  </si>
  <si>
    <t>Số nhà 360, đường Nguyễn Lương Bằng - Phường Thanh Bình - Thành phố Hải Dương - Hải Dương.</t>
  </si>
  <si>
    <t>0801201149</t>
  </si>
  <si>
    <t>Tổ 1, Khu 8 - Phường Thanh Sơn - Thành phố Uông Bí - Quảng Ninh.</t>
  </si>
  <si>
    <t>CHI NHÁNH NHÀ MÁY MAY XUẤT KHẨU LAUREN VINA - CÔNG TY TRÁCH NHIỆM HỮU HẠN MỘT THÀNH VIÊN DỆT MAY B&amp;H</t>
  </si>
  <si>
    <t>2700815717-001</t>
  </si>
  <si>
    <t>Thôn 8 - Xã Quảng Đức - Huyện Quảng Xương - Thanh Hoá.</t>
  </si>
  <si>
    <t>Chị Trang 0932362237</t>
  </si>
  <si>
    <t xml:space="preserve"> CÔNG TY TNHH THƯƠNG MẠI VÀ DỊCH VỤ BẠCH KIM MAI</t>
  </si>
  <si>
    <t>0401859670</t>
  </si>
  <si>
    <t>21 Xuân Tâm - Phường Thuận Phước - Quận Hải Châu - Đà Nẵng.</t>
  </si>
  <si>
    <t xml:space="preserve"> CÔNG TY TNHH ĐĂNG KIỂM - TRUNG TÂM ĐĂNG KIỂM XE CƠ GIỚI 2909D</t>
  </si>
  <si>
    <t>Số 685, đường Lĩnh Nam - Phường Lĩnh Nam - Quận Hoàng Mai - Hà Nội.</t>
  </si>
  <si>
    <t>0107554709</t>
  </si>
  <si>
    <t>CÔNG TY CỔ PHẦN DELTA &amp; CỘNG SỰ</t>
  </si>
  <si>
    <t>0105233241</t>
  </si>
  <si>
    <t>Tầng 16, tòa nhà Charmvit Tower, số 117 Trần Duy Hưng - Phường Trung Hoà - Quận Cầu Giấy - Hà Nội.</t>
  </si>
  <si>
    <t>0916820974 Chị Thu</t>
  </si>
  <si>
    <t>CÔNG TY CỔ PHẦN THƯƠNG MẠI DỊCH VỤ VÀ PHÁT TRIỂN CÔNG NGHỆ QUỐC TẾ</t>
  </si>
  <si>
    <t>0105921664</t>
  </si>
  <si>
    <t>Tổ dân phố Đức Diễn - Phường Phúc Diễn - Quận Bắc Từ Liêm - Hà Nội.</t>
  </si>
  <si>
    <t>0364863983 Chị Quỳnh</t>
  </si>
  <si>
    <t xml:space="preserve"> CÔNG TY CỔ PHẦN ĐẦU TƯ THƯƠNG MẠI PHÁT TRIỂN CÔNG NGHỆ XANH VIỆT NAM</t>
  </si>
  <si>
    <t>Khu công nghiệp Thuận Thành - Xã Xuân Lâm - Huyện Thuận Thành - Bắc Ninh.</t>
  </si>
  <si>
    <t xml:space="preserve"> 0106632746</t>
  </si>
  <si>
    <t>CÔNG TY TNHH THƯƠNG MẠI VÀ PHÁT TRIỂN TRƯỜNG THÀNH</t>
  </si>
  <si>
    <t>0500598606</t>
  </si>
  <si>
    <t>Xóm 4 - Xã Lại Yên - Huyện Hoài Đức - Hà Nội.</t>
  </si>
  <si>
    <t>Chị Hương: 0988621998</t>
  </si>
  <si>
    <t>Gia hạn tính cấp mới</t>
  </si>
  <si>
    <t xml:space="preserve"> CÔNG TY TNHH CÔNG NGHỆ VÀ NĂNG LƯỢNG NHẬT QUANG</t>
  </si>
  <si>
    <t>2400893760</t>
  </si>
  <si>
    <t>Khu dân cư Sậm, - Thị trấn Kép - Huyện Lạng Giang - Bắc Giang.</t>
  </si>
  <si>
    <t>CÔNG TY TNHH SX TM XNK THỜI TRANG APT</t>
  </si>
  <si>
    <t>0316512646</t>
  </si>
  <si>
    <t>54/10 Phổ Quang, - Phường 2 - Quận Tân Bình - TP Hồ Chí Minh.</t>
  </si>
  <si>
    <t>Chị Nga NNP: 0983612717</t>
  </si>
  <si>
    <t xml:space="preserve"> CÔNG TY TNHH SẢN XUẤT NẾN ĐẠI VIỆT</t>
  </si>
  <si>
    <t xml:space="preserve"> 0201244408</t>
  </si>
  <si>
    <t>Số 130/51 - Phường Dư Hàng - Quận Lê Chân - Hải Phòng.</t>
  </si>
  <si>
    <t>Linh: 0904423969</t>
  </si>
  <si>
    <t xml:space="preserve"> CÔNG TY CỔ PHẦN ĐẦU TƯ PHÁT TRIỂN XUẤT NHẬP KHẨU AN THỊNH PHÁT</t>
  </si>
  <si>
    <t>0107776437</t>
  </si>
  <si>
    <t>Số 8 ngõ 116 phố Nhân Hòa - Phường Nhân Chính - Quận Thanh Xuân - Hà Nội.</t>
  </si>
  <si>
    <t>0903437887 Chị Lan &lt; MSt 0107776437</t>
  </si>
  <si>
    <t xml:space="preserve"> CÔNG TY TNHH CÔNG NGHỆ NEW'S</t>
  </si>
  <si>
    <t>C12 Nơ 15 Khu đô thị mới Định Công - Phường Định Công - Quận Hoàng Mai - Hà Nội.</t>
  </si>
  <si>
    <t>0105567572</t>
  </si>
  <si>
    <t>Chị Huyền: 0983088227</t>
  </si>
  <si>
    <t>CÔNG TY TNHH THƯƠNG MẠI VÀ ĐẦU TƯ XÂY DỰNG ANH TRUNG</t>
  </si>
  <si>
    <t>Thôn Lộ Bao - Xã Nội Duệ - Huyện Tiên Du - Bắc Ninh.</t>
  </si>
  <si>
    <t>2300602584</t>
  </si>
  <si>
    <t>0982102996</t>
  </si>
  <si>
    <t>CÔNG TY TNHH KIỂM ĐỊNH SÔNG HỒNG</t>
  </si>
  <si>
    <t>3502291213</t>
  </si>
  <si>
    <t>Số 231A Phước Thắng - Phường 12 - Thành Phố Vũng Tàu - Bà Rịa - Vũng Tàu.</t>
  </si>
  <si>
    <t xml:space="preserve"> 2700888828</t>
  </si>
  <si>
    <t>Khoa Ninh Bình</t>
  </si>
  <si>
    <t>CÔNG TY TNHH HUI YAO VN</t>
  </si>
  <si>
    <t>Thôn Cổ Đà - Thị trấn Yên Thịnh - Huyện Yên Mô - Ninh Bình.</t>
  </si>
  <si>
    <t>Vũ Minh Khoa - 0982072468</t>
  </si>
  <si>
    <t xml:space="preserve"> CÔNG TY TNHH KHÁNH HIỀN</t>
  </si>
  <si>
    <t>Ánh CTV</t>
  </si>
  <si>
    <t>5900500854</t>
  </si>
  <si>
    <t>39 Lý Thường Kiệt - Phường Thắng Lợi - Thành phố Pleiku - Gia Lai.</t>
  </si>
  <si>
    <t>Đã ck Nacencomm và chuyển chiết khấu cho Ánh</t>
  </si>
  <si>
    <t>CÔNG TY TNHH MANDOM VIỆT NAM</t>
  </si>
  <si>
    <t>0313093281</t>
  </si>
  <si>
    <t>Phòng 1002, tầng 10, 54-56 đường Nguyễn Trãi - Phường Bến Thành - Quận 1 - TP Hồ Chí Minh.</t>
  </si>
  <si>
    <t>Lan 0388409845</t>
  </si>
  <si>
    <t>Linh chi 0909492672</t>
  </si>
  <si>
    <t>CÔNG TY TNHH NHỰA HƯNG THUẬN</t>
  </si>
  <si>
    <t>Phạm Băng Giang</t>
  </si>
  <si>
    <t>0101108112</t>
  </si>
  <si>
    <t>Số 23, phố Đông Các - Phường ô Chợ Dừa - Quận Đống đa - Hà Nội.</t>
  </si>
  <si>
    <t>CÔNG TY TNHH MỘT THÀNH VIÊN THƯƠNG MẠI PHÙ ĐỔNG</t>
  </si>
  <si>
    <t>0200851093</t>
  </si>
  <si>
    <t>Số 9A Hoàng Văn Thụ - Phường Minh Khai - Quận Hồng Bàng - Hải Phòng.</t>
  </si>
  <si>
    <t xml:space="preserve"> CHI NHÁNH XÂY LẮP ĐIỆN NƯỚC CÔNG TY CỔ PHẦN VX- TƯ VẤN ĐẦU TƯ VÀ XÂY DỰNG</t>
  </si>
  <si>
    <t>0101509587</t>
  </si>
  <si>
    <t xml:space="preserve"> CÔNG TY TNHH SẢN XUẤT VÀ THƯƠNG MẠI HÓA CHẤT THIẾT BỊ ĐẠI VIỆT</t>
  </si>
  <si>
    <t>Căn hộ 1 + 2 dãy B số 43 phố Giảng Võ - Phường Cát Linh - Quận Đống đa - Hà Nội.</t>
  </si>
  <si>
    <t>0102238499</t>
  </si>
  <si>
    <t>Đã TT Nacencomm và ck cho ÁNh</t>
  </si>
  <si>
    <t>CÔNG TY CP M.A.P GLOBAL</t>
  </si>
  <si>
    <t>0106618678</t>
  </si>
  <si>
    <t>Số 20, phố Phạm Hồng Thái - P. Nguyễn Trung Trực - Quận Ba Đình - Hà Nội.</t>
  </si>
  <si>
    <t>0984602146 Chị Tuyển</t>
  </si>
  <si>
    <t>500K</t>
  </si>
  <si>
    <t>CÔNG TY TNHH THƯƠNG MẠI VÀ DỊCH VỤ CƠ ĐIỆN LẠNH MINH QUANG</t>
  </si>
  <si>
    <t>0104778588</t>
  </si>
  <si>
    <t>Nhà số 9 hẻm 26/23 phố Thái Thịnh II - Phường Thịnh Quang - Quận Đống đa - Hà Nội.</t>
  </si>
  <si>
    <t>TT Nacencomm 1.9tr</t>
  </si>
  <si>
    <t>Đã TT tk Chúc 2.4tr</t>
  </si>
  <si>
    <t>CÔNG TY TNHH SẢN XUẤT VÀ THƯƠNG MẠI HÓA CHẤT THIẾT BỊ ĐẠI VIỆT</t>
  </si>
  <si>
    <t xml:space="preserve"> 0102238499</t>
  </si>
  <si>
    <t>Anh Đức: 0989626197</t>
  </si>
  <si>
    <t>CÔNG TY CỔ PHẦN THƯƠNG MẠI VÀ THỰC PHẨM ECOOK</t>
  </si>
  <si>
    <t>Chị Vân Anh</t>
  </si>
  <si>
    <t>0109346574</t>
  </si>
  <si>
    <t>Tầng 12, Khối B, toà nhà Sông Đà, đường Phạm Hùng, - Phường Mỹ Đình 1 - Quận Nam Từ Liêm - Hà Nội.</t>
  </si>
  <si>
    <t>Chị Vân Anh 0976652816</t>
  </si>
  <si>
    <t xml:space="preserve">639 Nguyễn Xiển - Phường Long Thạnh Mỹ - Quận 9 - TP Hồ Chí Minh.
</t>
  </si>
  <si>
    <t xml:space="preserve"> 0105915195</t>
  </si>
  <si>
    <t>64 Bà Triệu - - Quận Hoàn Kiếm - Hà Nội.</t>
  </si>
  <si>
    <t>CÔNG TY TNHH KỸ THUẬT CƠ KHÍ TÍN THÀNH</t>
  </si>
  <si>
    <t xml:space="preserve">Số 603 Đường Trần Hưng Đạo, Khu phố Tây B - Phường Đông Hòa - Thành phố Dĩ An - Bình Dương.
</t>
  </si>
  <si>
    <t>3702399528</t>
  </si>
  <si>
    <t>hau_tc@yahoo.com.vn</t>
  </si>
  <si>
    <t>Chị Luyến ,0963871908.</t>
  </si>
  <si>
    <t>đã ck Long 2.1tr</t>
  </si>
  <si>
    <t>CK Long 500K</t>
  </si>
  <si>
    <t>CÔNG TY CỔ PHẦN DỊCH VỤ QUANG PHÁT</t>
  </si>
  <si>
    <t>Số 11, tổ dân phố 8 Tu Hoàng - Phường Phương Canh - Quận Nam Từ Liêm - Hà Nội.</t>
  </si>
  <si>
    <t>0107701181</t>
  </si>
  <si>
    <t>08/09/2020 TT2025259304\CTH  CTCP DV QUANG PHAT MST 0107701181 NOP TIEN VAO TAI KHOAN NACENCOMM SCT.,JSC SO TIEN NOP 925000  925,000</t>
  </si>
  <si>
    <t>CÔNG TY TNHH SẢN XUẤT VÀ THƯƠNG MẠI AN GIANG</t>
  </si>
  <si>
    <t>0102174213</t>
  </si>
  <si>
    <t>Số 33, phố Tân ấp - Phường Phúc Xá - Quận Ba Đình - Hà Nội.</t>
  </si>
  <si>
    <t>Chị Trinh 0915405066</t>
  </si>
  <si>
    <t>Đã TT Nacencomm 740K</t>
  </si>
  <si>
    <t>CÔNG TY TNHH THƯƠNG MẠI KỸ THUẬT QUANG VINH</t>
  </si>
  <si>
    <t>0104304203</t>
  </si>
  <si>
    <t>Phòng 4, tầng 2 - A17, Tập thể Nguyễn ái Quốc - Phường Trung Liệt - Quận Đống đa - Hà Nội.</t>
  </si>
  <si>
    <t>31/08/2020 FT20244639078740\DTN 10321656622015 0104304203 TT phat hanh HDDT  500,000</t>
  </si>
  <si>
    <t xml:space="preserve"> CÔNG TY CỔ PHẦN SƠN ĐỊNH CÔNG</t>
  </si>
  <si>
    <t>0107283544</t>
  </si>
  <si>
    <t>Khối Bạch Đằng - Phường Vạn Phúc - Quận Hà Đông - Hà Nội.</t>
  </si>
  <si>
    <t>15/10/2020 FT20289A04002283\XNV 10321656622015 (B/O CONG TY TNHH MANDOM VIET NAM) CTY TNHH MANDOM VIET NAM 0313093281 CHUYEN TIEN DICH VU CHUNG THU SO CA2  1,277,100</t>
  </si>
  <si>
    <t>CÔNG TY TRÁCH NHIỆM HỮU HẠN TRUNG THỊNH</t>
  </si>
  <si>
    <t>3500867935</t>
  </si>
  <si>
    <t>Số 669/17 Nguyễn An Ninh - Phường Nguyễn An Ninh - Thành Phố Vũng Tàu - Bà Rịa - Vũng Tàu.</t>
  </si>
  <si>
    <t>Trungthinhvt2020@gmail.com</t>
  </si>
  <si>
    <t>Chị Vân: 0981897272</t>
  </si>
  <si>
    <t>CÔNG TY TNHH ĐẦU TƯ THƯƠNG MẠI VÀ DỊCH VỤ MK HOME VIỆT NAM</t>
  </si>
  <si>
    <t>Chị Quyên Đồng Đội 0943005575</t>
  </si>
  <si>
    <t>0109350700</t>
  </si>
  <si>
    <t>So 77 Đặng Xuân Bảng, - Phường Đại Kim - Quận Hoàng Mai - Hà Nội.</t>
  </si>
  <si>
    <t>Đã TT Nacencomm 3910800đ CKS +Hóa đơn</t>
  </si>
  <si>
    <t>CÔNG TY TNHH ĐẦU TƯ THƯƠNG MẠI MINH GIA HUY</t>
  </si>
  <si>
    <t>2802437285</t>
  </si>
  <si>
    <t>Số 207, Phố Phúc Sơn - Thị trấn Bút Sơn - Huyện Hoằng Hoá - Thanh Hoá.</t>
  </si>
  <si>
    <t>0936168957 Chị Quỳnh</t>
  </si>
  <si>
    <t>CÔNG TY CỔ PHẦN VINAYAMA</t>
  </si>
  <si>
    <t>Lô H4-1 Khu Công nghiệp Quế Võ - Phường Vân Dương - Thành phố Bắc Ninh - Bắc Ninh.</t>
  </si>
  <si>
    <t>0105120329</t>
  </si>
  <si>
    <t>Linh Cty anh Hoàng</t>
  </si>
  <si>
    <t>15/102020</t>
  </si>
  <si>
    <t>CÔNG TY CỔ PHẦN PHÁT TRIỂN NHÂN LỰC VÀ HỢP TÁC QUỐC TẾ DHH VIỆT NAM</t>
  </si>
  <si>
    <t>Hùng kế toán</t>
  </si>
  <si>
    <t xml:space="preserve"> 0108077008</t>
  </si>
  <si>
    <t>CÔNG TY CỔ PHẦN BƯU VẬN QUỐC TẾ ĐÔNG DƯƠNG</t>
  </si>
  <si>
    <t>0107702393</t>
  </si>
  <si>
    <t>Số 22, ngõ 157/29 phố Chùa Láng - Phường Láng Thượng - Quận Đống đa - Hà Nội.</t>
  </si>
  <si>
    <t>CÔNG TY CỔ PHẦN NHỰA VIỆT Ý</t>
  </si>
  <si>
    <t>0107554924</t>
  </si>
  <si>
    <t>ô số 01, lô số 03, cụm công nghiệp Di Trạch - Xã Di Trạch - Huyện Hoài Đức - Hà Nội.</t>
  </si>
  <si>
    <t>0866 111 366</t>
  </si>
  <si>
    <t>3603053800</t>
  </si>
  <si>
    <t>CÔNG TY TNHH MỘT THÀNH VIÊN MINH QUÂN ĐỒNG NAI</t>
  </si>
  <si>
    <t>Ngọc Hải Balala</t>
  </si>
  <si>
    <t xml:space="preserve"> CÔNG TY CỔ PHẦN XÂY DỰNG VÀ THƯƠNG MẠI NỘI THẤT HÀ NỘI</t>
  </si>
  <si>
    <t>0107015619</t>
  </si>
  <si>
    <t>Đồng nai</t>
  </si>
  <si>
    <t>Số 30 ngách 16/26 phố Đỗ Xuân Hợp - Phường Mỹ Đình 1 - Quận Nam Từ Liêm - Hà Nội.</t>
  </si>
  <si>
    <t xml:space="preserve"> CÔNG TY CỔ PHẦN DỊCH VỤ VẬN TẢI VÂN SƠN</t>
  </si>
  <si>
    <t>0107725707</t>
  </si>
  <si>
    <t>Số nhà 6, ngách 63/30/84, đường Lê Đức Thọ - Phường Mỹ Đình 2 - Quận Nam Từ Liêm - Hà Nội.</t>
  </si>
  <si>
    <t>CÔNG TY CỔ PHẦN SẢN XUẤT VÀ ĐẦU TƯ XÂY DỰNG TECH DOOR</t>
  </si>
  <si>
    <t>0106653908</t>
  </si>
  <si>
    <t>Số 8T1, ngách 28/112, phố Đại Linh - Phường Trung Văn - Quận Nam Từ Liêm - Hà Nội.</t>
  </si>
  <si>
    <t>01/09/2020 FT20245139550865\BNK 10321656622015 0106653908  500,000</t>
  </si>
  <si>
    <t>CÔNG TY CỔ PHẦN KIẾN TRÚC KA</t>
  </si>
  <si>
    <t>0104927180</t>
  </si>
  <si>
    <t>Số 10 ngách 32/48/3 phố Đỗ Đức Dục - Phường Mễ Trì - Quận Nam Từ Liêm - Hà Nội.</t>
  </si>
  <si>
    <t xml:space="preserve"> 16/09/2020 FT20260865485363\BNK 10321656622015 phi lan hddt cty 0104927180  500,000</t>
  </si>
  <si>
    <t>CÔNG TY TNHH CÔNG NGHỆ VÀ NĂNG LƯỢNG NHẬT QUANG</t>
  </si>
  <si>
    <t>CÔNG TY TNHH CUNG CẤP VÀ LẮP ĐẶT THIẾT BỊ PHÒNG CHÁY CHỮA CHÁY ĐÔNG DƯƠNG</t>
  </si>
  <si>
    <t>0105883867</t>
  </si>
  <si>
    <t>Tổ dân phố Mễ Trì Hạ - Phường Mễ Trì - Quận Nam Từ Liêm - Hà Nội.</t>
  </si>
  <si>
    <t>23/09/2020 FT20267328038006\BNK 10321656622015 0108363778, 0107164113, 0105883867, 0104442683  2,300,000</t>
  </si>
  <si>
    <t>16/10/2020 FT20290083818804\BNK 10321656622015 Cong ty co phan nhua viet y mst 01 07554924 chuyen tien gia han cks 1 nam  1,277,100</t>
  </si>
  <si>
    <t xml:space="preserve"> CÔNG TY CỔ PHẦN VINAYAMA</t>
  </si>
  <si>
    <t>Linh Cty Luật anh Hoàng</t>
  </si>
  <si>
    <t xml:space="preserve"> 0105120329</t>
  </si>
  <si>
    <t>CÔNG TY CỔ PHẦN GIÁO DỤC HOA KỲ FTV</t>
  </si>
  <si>
    <t>0108121112</t>
  </si>
  <si>
    <t xml:space="preserve"> Tầng 2, Số 90 Tô Ngọc Vân, - Phường Quảng An - Quận Tây Hồ - Hà Nội.</t>
  </si>
  <si>
    <t>0977318766 Chị Ly</t>
  </si>
  <si>
    <t>DOANH NGHIỆP TƯ NHÂN INOX NGỌC SƠN</t>
  </si>
  <si>
    <t xml:space="preserve"> 0101816771</t>
  </si>
  <si>
    <t>Số 7 ngõ Đình Đại, phố Bạch Mai - Phường Cầu Dền - Quận Hai Bà Trưng - Hà Nội.</t>
  </si>
  <si>
    <t>15/10/2020 FT20289A01004398\XNV 10321656622015 (B/O Cty TNHH HUI YAO VN) THANH TOAN TIEN MUA CHUNG THU SO DOANH NGHIEP VID STAMP PRO GOI 3 NAM  3,110,800</t>
  </si>
  <si>
    <t>CÔNG TY TNHH PHÁT TRIỂN CÔNG NGHỆ MINH THÁI</t>
  </si>
  <si>
    <t>Số nhà 5 tổ 4 đường K2 - Phường Cầu Diễn - Quận Nam Từ Liêm - Hà Nội.</t>
  </si>
  <si>
    <t>0107523595</t>
  </si>
  <si>
    <t>CÔNG TY TNHH GOLDEN STAR VIỆT NAM</t>
  </si>
  <si>
    <t>0106228004</t>
  </si>
  <si>
    <t>Lô A2 - CN7, Cụm Công nghiệp Từ Liêm - Phường Phương Canh - Quận Nam Từ Liêm - Hà Nội.</t>
  </si>
  <si>
    <t>CÔNG TY CỔ PHẦN ĐẦU TƯ CÔNG NGHỆ SMART VIỆT NAM</t>
  </si>
  <si>
    <t>0106886733</t>
  </si>
  <si>
    <t>Số 7, ngõ 120/42 Kim Giang - Phường Đại Kim - Quận Hoàng Mai - Hà Nội.</t>
  </si>
  <si>
    <t xml:space="preserve"> CÔNG TY TNHH THƯƠNG MẠI VÀ ĐẦU TƯ TG TOÀN CẦU</t>
  </si>
  <si>
    <t>Số 9 ngõ 169/2 đường Đại Mỗ - Phường Đại Mỗ - Quận Nam Từ Liêm - Hà Nội.</t>
  </si>
  <si>
    <t xml:space="preserve"> 0107775024</t>
  </si>
  <si>
    <t>15/10/2020 FT20289A01003146\XNV 10321656622015 (B/O CONG TY TNHH AJU VINA) TT PHAN MEM HOA DON DIEN TU CA2-EISOO THEO HOA DON SO 0018366 NGAY 6/10/2020  925,000</t>
  </si>
  <si>
    <t>CÔNG TY TNHH AJU VINA</t>
  </si>
  <si>
    <t>4601288693</t>
  </si>
  <si>
    <t>Lô CN4, Khu công nghiệp Điềm Thụy - Xã Điềm Thụy - Huyện Phú Bình - Thái Nguyên.</t>
  </si>
  <si>
    <t>Thái Nguyên</t>
  </si>
  <si>
    <t>CÔNG TY TNHH XÂY DỰNG VÀ NỘI THẤT HÀ VŨ</t>
  </si>
  <si>
    <t>Số 215 đường K2, tổ 15 - Phường Cầu Diễn - Quận Nam Từ Liêm - Hà Nội.</t>
  </si>
  <si>
    <t>0107476391</t>
  </si>
  <si>
    <t>CÔNG TY TNHH THƯƠNG MẠI THẮNG KHANG</t>
  </si>
  <si>
    <t>91 Lê Cảnh Tuân, - Phường Nại Hiên Đông - Quận Sơn Trà - Đà Nẵng.</t>
  </si>
  <si>
    <t>0402057870</t>
  </si>
  <si>
    <t>CÔNG TY TNHH SẢN XUẤT NẾN ĐẠI VIỆT</t>
  </si>
  <si>
    <t>0201244408</t>
  </si>
  <si>
    <t>trinhthuylinhttl@gmail.com</t>
  </si>
  <si>
    <t>0904423969</t>
  </si>
  <si>
    <t>CÔNG TY CỔ PHẦN THỰC PHẨM MINH ANH</t>
  </si>
  <si>
    <t>Số nhà 488, đại lộ Lê Thanh Nghị - Phường Lê Thanh Nghị - Thành phố Hải Dương - Hải Dương.</t>
  </si>
  <si>
    <t xml:space="preserve"> 0800995837</t>
  </si>
  <si>
    <t>Hải Dương</t>
  </si>
  <si>
    <t>44 Trần Quang Khải - Phường Phú Hội - Thành phố Huế - Thừa Thiên - Huế.</t>
  </si>
  <si>
    <t>Huế</t>
  </si>
  <si>
    <t>Cô Hồng 0914202731</t>
  </si>
  <si>
    <t>TT Nacencomm 2.6tr cả CKS + Hóa đơn</t>
  </si>
  <si>
    <t>Thanh toán Nacencomm 2tr</t>
  </si>
  <si>
    <t>CK 907300</t>
  </si>
  <si>
    <t>01/10/2020 FT20275903408456\BNK 10321656622015 MST : 0105409914 - cong ty CPPTCN va XD VIET THANH chuyen tien gia han chu ky so  2,400,000</t>
  </si>
  <si>
    <t>Đã TT Nacencomm 2tr</t>
  </si>
  <si>
    <t>Đã TT Nacencomm  1277100</t>
  </si>
  <si>
    <t>02/10/2020 FT20276080208706\LDM 10321656622015 Cty TNHH TM va PT Truong Thanh. Mst 0500598606 chuyen tien gia han chu ky so  3,110,800</t>
  </si>
  <si>
    <t>Đã TT Nacencomm 1.9tr</t>
  </si>
  <si>
    <t>Đã tt 1180K</t>
  </si>
  <si>
    <t>CK 407300</t>
  </si>
  <si>
    <t>TT đủ cho Nacencomm</t>
  </si>
  <si>
    <t>Đã TT đủ</t>
  </si>
  <si>
    <t>CÔNG TY CỔ PHẦN XUẤT NHẬP KHẨU 5A</t>
  </si>
  <si>
    <t>0107783610</t>
  </si>
  <si>
    <t>Số 6 Đặng Văn Ngữ - Phường Trung Tự - Quận Đống đa - Hà Nội.</t>
  </si>
  <si>
    <t>Chị Vân Anh - Vàng</t>
  </si>
  <si>
    <t>CÔNG TY TNHH THƯƠNG MẠI VÀ SẢN XUẤT HOÀNG DŨNG</t>
  </si>
  <si>
    <t>0106704599</t>
  </si>
  <si>
    <t>Số nhà 48, tổ 13, đường K2 - Phường Cầu Diễn - Quận Nam Từ Liêm - Hà Nội.</t>
  </si>
  <si>
    <t>07/10/2020 FT20281634531246\BNK 10321656622015 cty Hoang Dung 0106704599 ck  500,000</t>
  </si>
  <si>
    <t>CÔNG TY TNHH MTV THIÊN GIA PHÁT</t>
  </si>
  <si>
    <t>5701593325</t>
  </si>
  <si>
    <t xml:space="preserve">Số 1, tổ 1, khu Bạch Đằng - Phường Cẩm Thạch - Thành phố Cẩm Phả - Quảng Ninh.
</t>
  </si>
  <si>
    <t xml:space="preserve">Cẩm phả </t>
  </si>
  <si>
    <t>Chị Phượng Bảo Long ĐT 0387246683</t>
  </si>
  <si>
    <t>mail. Halinhcph@gmail.com</t>
  </si>
  <si>
    <t>CÔNG TY TNHH VẠN THIÊN PHÚC</t>
  </si>
  <si>
    <t>0302887596</t>
  </si>
  <si>
    <t>35/1E Đường Xuân Thới Đông 3, ấp Tân Tiến - Xã Xuân Thới Đông - Huyện Hóc Môn - TP Hồ Chí Minh.</t>
  </si>
  <si>
    <t>CÔNG TY TNHH QUỐC TẾ PHÚC HƯNG KHANG</t>
  </si>
  <si>
    <t>0313727530</t>
  </si>
  <si>
    <t>59/20 Đỗ Thúc Tịnh - Phường 12 - Quận Gò Vấp - TP Hồ Chí Minh.</t>
  </si>
  <si>
    <t>chị Quỳnh 0903191514</t>
  </si>
  <si>
    <t>CÔNG TY TNHH SẢN XUẤT-THƯƠNG MẠI-DỊCH VỤ VĂN TÂM</t>
  </si>
  <si>
    <t>226/1 Tô Ký, ấp Tam Đông 1 - Xã Thới Tam Thôn - Huyện Hóc Môn - TP Hồ Chí Minh.</t>
  </si>
  <si>
    <t xml:space="preserve"> 0315347118</t>
  </si>
  <si>
    <t>Anh  Đỉnh sđt 0913229379</t>
  </si>
  <si>
    <t>CÔNG TY TNHH SẢN XUẤT THƯƠNG MẠI DỊCH VỤ KHẢ DI</t>
  </si>
  <si>
    <t xml:space="preserve"> 0315347301</t>
  </si>
  <si>
    <t>13/1G Trịnh Thị Miếng, ấp Trung Đông 2 - Xã Thới Tam Thôn - Huyện Hóc Môn - TP Hồ Chí Minh.</t>
  </si>
  <si>
    <t>CÔNG TY TNHH ĐẦU TƯ XÂY DỰNG VÀ PHÁT TRIỂN CÁP VIỆT CO</t>
  </si>
  <si>
    <t>0311317419</t>
  </si>
  <si>
    <t>61/17 Nguyễn ảnh Thủ, ấp Đông - Xã Thới Tam Thôn - Huyện Hóc Môn - TP Hồ Chí Minh.</t>
  </si>
  <si>
    <t>CÔNG TY TNHH MỘT THÀNH VIÊN VÕ PHÚ QUÝ</t>
  </si>
  <si>
    <t>0313371348</t>
  </si>
  <si>
    <t>66/7C Bùi Văn Ngữ, ấp Đông - Xã Thới Tam Thôn - Huyện Hóc Môn - TP Hồ Chí Minh.</t>
  </si>
  <si>
    <t xml:space="preserve">Lý toét: </t>
  </si>
  <si>
    <t>CÔNG TY TNHH XÂY DỰNG VÀ PHÁT TRIỂN CƠ KHÍ HOÀNG ANH</t>
  </si>
  <si>
    <t>0107868504</t>
  </si>
  <si>
    <t>Số 29, ngách 63/57 đường Lê Đức Thọ, tổ dân phố số 7, Phú Mỹ - Phường Mỹ Đình 2 - Quận Nam Từ Liêm - Hà Nội.</t>
  </si>
  <si>
    <t>CÔNG TY TNHH THIẾT KẾ ĐẦU TƯ XÂY DỰNG MINH TRÍ</t>
  </si>
  <si>
    <t>31/12 Đặng Thúc Vịnh, ấp Thới Tứ 1 - Xã Thới Tam Thôn - Huyện Hóc Môn - TP Hồ Chí Minh.</t>
  </si>
  <si>
    <t>0307292070</t>
  </si>
  <si>
    <t>0908639086 kt ten huyền</t>
  </si>
  <si>
    <t xml:space="preserve"> CÔNG TY TNHH SẢN XUẤT VÀ DỊCH VỤ BK8. </t>
  </si>
  <si>
    <t>0105311997</t>
  </si>
  <si>
    <t>Pháp Vân, tổ 12 - Phường Hoàng Liệt - Quận Hoàng Mai - Hà Nội.</t>
  </si>
  <si>
    <t>CÔNG TY TNHH ĐẦU TƯ THƯƠNG MẠI &amp; DỊCH VỤ LAMECO</t>
  </si>
  <si>
    <t xml:space="preserve"> 0313956146</t>
  </si>
  <si>
    <t>Số 190B Trần Quang Khải - Phường Tân Định - Quận 1 - TP Hồ Chí Minh.</t>
  </si>
  <si>
    <t>16/10/2020 FT20290233925086\BNK 10321656622015 MBVCB.811899092.094964.Cty Lameco t hanh toan hoa don dien tu.CT tu 002 1000469539 NGUYEN DANG LAI toi  800,000</t>
  </si>
  <si>
    <t>CÔNG TY TNHH THIẾT KẾ SAO BẮC</t>
  </si>
  <si>
    <t>2301140967</t>
  </si>
  <si>
    <t>Thôn Vọng Đông, - Xã Yên Trung - Huyện Yên Phong - Bắc Ninh.</t>
  </si>
  <si>
    <t>CÔNG TY CỔ PHẦN TIẾN ĐỒNG</t>
  </si>
  <si>
    <t xml:space="preserve">Ngọc </t>
  </si>
  <si>
    <t>0302943593</t>
  </si>
  <si>
    <t>Số 05 đường Số 5 - Khu dân cư Hoàng Hải, ấp Tiền Lân - Xã Bà Điểm - Huyện Hóc Môn - TP Hồ Chí Minh.</t>
  </si>
  <si>
    <t xml:space="preserve"> CÔNG TY TNHH ĐẦU TƯ THƯƠNG MẠI VÀ DỊCH VỤ MK HOME VIỆT NAM</t>
  </si>
  <si>
    <t>So�� 77 Đặng Xuân Bảng, - Phường Đại Kim - Quận Hoàng Mai - Hà Nội.</t>
  </si>
  <si>
    <t>Chị Quyên bảo vệ đông đội 0943005575</t>
  </si>
  <si>
    <t>Đã TT cùng chữ ký số</t>
  </si>
  <si>
    <t>0966897776</t>
  </si>
  <si>
    <t>CÔNG TY TNHH XÂY DỰNG THƯƠNG MẠI VÀ SẢN XUẤT HOÀNG DŨNG</t>
  </si>
  <si>
    <t xml:space="preserve"> 1001190732</t>
  </si>
  <si>
    <t>Ngã ba chợ Diêm - Xã Minh Tân - Huyện Hưng Hà - Thái Bình.</t>
  </si>
  <si>
    <t>CÔNG TY TNHH XÂY DỰNG VÀ DỊCH VỤ THƯƠNG MẠI TRƯỜNG MINH HÀ NỘI</t>
  </si>
  <si>
    <t>0106008802</t>
  </si>
  <si>
    <t>Số 129, Đường Trung Văn - Phường Trung Văn - Quận Nam Từ Liêm - Hà Nội.</t>
  </si>
  <si>
    <t>truongminhhanoi123@gmail.com</t>
  </si>
  <si>
    <t>chị dung: 0989383756</t>
  </si>
  <si>
    <t>CÔNG TY CỔ PHẦN BÌNH MINH POLYMER</t>
  </si>
  <si>
    <t xml:space="preserve"> 2700912661</t>
  </si>
  <si>
    <t>Lô CN07, Khu công nghiệp Phúc Sơn, - Xã Ninh Phúc - Thành phố Ninh Bình - Ninh Bình.</t>
  </si>
  <si>
    <t>CÔNG TY TNHH THƯƠNG MẠI XÂY DỰNG PVP</t>
  </si>
  <si>
    <t>44/45 ấp 3 - Xã Đông Thạnh - Huyện Hóc Môn - TP Hồ Chí Minh.</t>
  </si>
  <si>
    <t>0313735362</t>
  </si>
  <si>
    <t>CÔNG TY TNHH HỢP PHƯỚC THỊNH</t>
  </si>
  <si>
    <t>0401538243</t>
  </si>
  <si>
    <t>251 Tố Hữu - Phường Khuê Trung - Quận Cẩm Lệ - Đà Nẵng.</t>
  </si>
  <si>
    <t>CÔNG TY TNHH DŨNG SƠN NƯỚC</t>
  </si>
  <si>
    <t xml:space="preserve"> 0401846696</t>
  </si>
  <si>
    <t>K21/69 Nguyễn Văn Huề - Phường Thanh Khê Tây - Quận Thanh Khê - Đà Nẵng.</t>
  </si>
  <si>
    <t xml:space="preserve"> NGÂN HÀNG THƯƠNG MẠI CỔ PHẦN XĂNG DẦU PETROLIMEX - CHI NHÁNH ĐÀ NẴNG</t>
  </si>
  <si>
    <t>Tòa nhà Petrolimex Đà Nẵng, số 122 Đường 2/9 - Phường Bình Thuận - Quận Hải Châu - Đà Nẵng.</t>
  </si>
  <si>
    <t>CÔNG TY CỔ PHẦN INSY</t>
  </si>
  <si>
    <t xml:space="preserve"> 0109360233</t>
  </si>
  <si>
    <t>Số nhà 12H ngõ 25 phố Phan Văn Trường, - Phường Dịch Vọng Hậu - Quận Cầu Giấy - Hà Nội.</t>
  </si>
  <si>
    <t xml:space="preserve"> CÔNG TY CỔ PHẦN DỊCH VỤ QUANG PHÁT</t>
  </si>
  <si>
    <t xml:space="preserve"> 0107701181</t>
  </si>
  <si>
    <t>12/10/2020 FT20286A01010301\XNV 10321656622015 (B/O CTY TNHH MOT THANH VIEN 76) TT GIA HAN CHUNG THU SO DOANH NGHIEP VID  2,907,300</t>
  </si>
  <si>
    <t>/10/2020 FT20291341814702\BNK 10321656622015 IBFT Gh 0315907433  1,800,000</t>
  </si>
  <si>
    <t>15/10/2020 FT20289A01024997\XNV 10321656622015 (B/O CONG TY CO PHAN VINAYAMA) MST 0105120329 CTY CP VINAYAMACHUYEN TIEN GIA HAN CHU KI SO  2,907,300</t>
  </si>
  <si>
    <t xml:space="preserve"> CÔNG TY TNHH ĐẦU TƯ VÀ DỊCH VỤ PHÚ LÂM</t>
  </si>
  <si>
    <t>Số 389 Trương Định - Phường Tân Mai - Quận Hoàng Mai - Hà Nội.</t>
  </si>
  <si>
    <t>0106014940</t>
  </si>
  <si>
    <t>CÔNG TY CỔ PHẦN ĐẦU TƯ THỊNH PHÁT</t>
  </si>
  <si>
    <t>Số 276 phố Yên Duyên - Phường Yên Sở - Quận Hoàng Mai - Hà Nội.</t>
  </si>
  <si>
    <t xml:space="preserve"> 0103820815</t>
  </si>
  <si>
    <t>0904150062</t>
  </si>
  <si>
    <t>21/10/2020 FT20295190678687\BNK 10321656622015 MBVCB.819538898.051354.Cong ty thin h phat thanh toan hop dong so 01038 20815/CA2-NCM.CT tu 0011000741  2,907,300</t>
  </si>
  <si>
    <t>0314064276</t>
  </si>
  <si>
    <t>0500315431</t>
  </si>
  <si>
    <t>Văn Giáp-Văn Bình (Km18 Quốc lộ 1A) - Xã Văn Bình - Huyện Thường Tín - Hà Nội.</t>
  </si>
  <si>
    <t>CÔNG TY TNHH SẢN XUẤT KINH DOANH BÌNH MINH</t>
  </si>
  <si>
    <t>Chị Hương thuế quận 12</t>
  </si>
  <si>
    <t>Số 91/8 ấp Tây Lân - Xã Bà Điểm - Huyện Hóc Môn - TP Hồ Chí Minh.</t>
  </si>
  <si>
    <t>DOANH NGHIỆP TƯ NHÂN VẬT TƯ NÔNG NGHIỆP CHÍ ĐƯỜNG</t>
  </si>
  <si>
    <t>CTV Luyến</t>
  </si>
  <si>
    <t>2700589070</t>
  </si>
  <si>
    <t>Xóm 1, thôn La Mai - Xã Ninh Giang - Huyện Hoa Lư - Ninh Bình.</t>
  </si>
  <si>
    <t>Anh Chí  0947188885</t>
  </si>
  <si>
    <t>CHI NHÁNH CÔNG TY CỔ PHẦN FUKYO VIỆT NAM TẠI NAM ĐỊNH</t>
  </si>
  <si>
    <t>Khu nuôi trồng thủy sản - Xã Xuân Hòa - Huyện Xuân Trường - Nam Định.</t>
  </si>
  <si>
    <t>0105642685-001</t>
  </si>
  <si>
    <t>CÔNG TY CỔ PHẦN ĐẦU TƯ XÂY DỰNG THƯƠNG MẠI VÀ TRUYỀN THÔNG VIỆT NAM</t>
  </si>
  <si>
    <t>0105118908</t>
  </si>
  <si>
    <t>Số 15 - B6 dự án nhà ở Cầu Diễn - Phường Phú Diễn - Quận Bắc Từ Liêm - Hà Nội.</t>
  </si>
  <si>
    <t xml:space="preserve"> CÔNG TY CỔ PHẦN XÂY DỰNG - THƯƠNG MẠI CÁT THÀNH</t>
  </si>
  <si>
    <t>0969376899</t>
  </si>
  <si>
    <t xml:space="preserve"> CÔNG TY TNHH MỘT THÀNH VIÊN HÃNG PHIM TÀI LIỆU VÀ KHOA HỌC TRUNG ƯƠNG</t>
  </si>
  <si>
    <t>Số 465 đường Hoàng Hoa Thám - Phường Vĩnh Phúc - Quận Ba Đình - Hà Nội.</t>
  </si>
  <si>
    <t xml:space="preserve"> 0100110084</t>
  </si>
  <si>
    <t>0837611010</t>
  </si>
  <si>
    <t>0938819386</t>
  </si>
  <si>
    <t>Số 15A, ngách 158, ngõ 99 Định Công Hạ - Phường Định Công - Quận Hoàng Mai - Hà Nội.</t>
  </si>
  <si>
    <t>CÔNG TY TNHH CÔNG NGHỆ LA SƠN</t>
  </si>
  <si>
    <t>0109380399</t>
  </si>
  <si>
    <t>Số 120, đường Gamuda Garden 3-6, KĐT Gamuda Gardens, - Phường Trần Phú - Quận Hoàng Mai - Hà Nội.</t>
  </si>
  <si>
    <t>CÔNG TY CỔ PHẦN TƯ VẤN XÂY DỰNG VÀ THƯƠNG MẠI HÀ THÀNH</t>
  </si>
  <si>
    <t>CÔNG TY CỔ PHẦN VẬN TẢI THỐNG NHẤT</t>
  </si>
  <si>
    <t>Số 89, đường Lỹ Tự Trọng - - Thành phố Hà Tĩnh - Hà Tĩnh.</t>
  </si>
  <si>
    <t>3000416370</t>
  </si>
  <si>
    <t>0987685208 chị huyền</t>
  </si>
  <si>
    <t>CÔNG TY TNHH DỊCH VỤ THƯƠNG MẠI LINH VŨ</t>
  </si>
  <si>
    <t>Số 06 ngách 34 ngõ 61 phố Hoàng Cầu, - Phường ô Chợ Dừa - Quận Đống đa - Hà Nội.</t>
  </si>
  <si>
    <t>0109263134</t>
  </si>
  <si>
    <t>CÔNG TY TNHH THƯƠNG MẠI VÀ DỊCH VỤ DU LỊCH TOÀN VIỆT</t>
  </si>
  <si>
    <t xml:space="preserve"> 0106324808</t>
  </si>
  <si>
    <t>Số 12, ngách 112/18, phố Định Công Thượng - Phường Định Công - Quận Hoàng Mai - Hà Nội.</t>
  </si>
  <si>
    <t>0100231956-009</t>
  </si>
  <si>
    <t>CHI NHÁNH CÔNG TY TNHH BÌNH LÝ TẠI HẢI DƯƠNG</t>
  </si>
  <si>
    <t>Số 36 Trần Hưng Đạo - Phường Trần Hưng Đạo - Thành phố Hải Dương - Hải Dương.</t>
  </si>
  <si>
    <t>0972880977 Chị Hảo</t>
  </si>
  <si>
    <t>0201734603</t>
  </si>
  <si>
    <t xml:space="preserve"> CÔNG TY TNHH THƯƠNG MẠI DỊCH VỤ IN VÀ BAO BÌ BẢO NAM</t>
  </si>
  <si>
    <t>Số 119/191 Đà Nẵng - Phường Lạc Viên - Quận Ngô Quyền - Hải Phòng.</t>
  </si>
  <si>
    <t xml:space="preserve"> CÔNG TY TNHH NGUYỆN ĐẠT PHÁT</t>
  </si>
  <si>
    <t>0107570429</t>
  </si>
  <si>
    <t>Tổ dân phố Trung Bình - Phường Dương Nội - Quận Hà Đông - Hà Nội.</t>
  </si>
  <si>
    <t>sdt 0904195906</t>
  </si>
  <si>
    <t>Thôn Thống Nhất - Xã Kim Lan - Huyện Gia Lâm - Hà Nội.</t>
  </si>
  <si>
    <t>đt 0975955168</t>
  </si>
  <si>
    <t>gmail:baoyennguyen09@gmail.com</t>
  </si>
  <si>
    <t xml:space="preserve"> CÔNG TY CỔ PHẦN XÂY LẮP DƯƠNG AN</t>
  </si>
  <si>
    <t>0102668004</t>
  </si>
  <si>
    <t>Số 09 phố Nam Dư, phường Lĩnh Nam - - Quận Hoàng Mai - Hà Nội.</t>
  </si>
  <si>
    <t>28/08/2020 FT20241750310013\BNK 10321656622015 mst 0102668004 - tt goi hoa don ei1 00  500,000</t>
  </si>
  <si>
    <t xml:space="preserve"> CÔNG TY TNHH ĐẦU TƯ SẢN XUẤT THƯƠNG MẠI DỊCH VỤ TÂN HIỆP PHÁT</t>
  </si>
  <si>
    <t>32/5B Đặng Thúc Vịnh, Tổ 96, ấp Tam Đông 3 - Xã Thới Tam Thôn - Huyện Hóc Môn - TP Hồ Chí Minh.</t>
  </si>
  <si>
    <t>0314672669</t>
  </si>
  <si>
    <t>CÔNG TY TNHH SẢN XUẤT THƯƠNG MẠI DỊCH VỤ DA PHA CO</t>
  </si>
  <si>
    <t>0314673535</t>
  </si>
  <si>
    <t>66/10 Trịnh Thị Miếng, Tổ 123, ấp Đông - Xã Thới Tam Thôn - Huyện Hóc Môn - TP Hồ Chí Minh.</t>
  </si>
  <si>
    <t>CÔNG TY CỔ PHẦN DỊCH VỤ IVA</t>
  </si>
  <si>
    <t>0103014325</t>
  </si>
  <si>
    <t>Số nhà 2B, Ngách 36, Ngõ 18 Định Công Thượng - Phường Định Công - Quận Hoàng Mai - Hà Nội.</t>
  </si>
  <si>
    <t>CÔNG TY TNHH THƯƠNG MẠI SẮT THÉP ĐẠI TÍN NGHĨA</t>
  </si>
  <si>
    <t>0314192711</t>
  </si>
  <si>
    <t>128A Nguyễn ảnh Thủ, ấp Đông 1 - Xã Thới Tam Thôn - Huyện Hóc Môn - TP Hồ Chí Minh.</t>
  </si>
  <si>
    <t xml:space="preserve"> CÔNG TY TRÁCH NHIỆM HỮU HẠN KIÊN HÀ</t>
  </si>
  <si>
    <t>0303584795</t>
  </si>
  <si>
    <t>11/9 ấp Trung Đông - Xã Thới Tam Thôn - Huyện Hóc Môn - TP Hồ Chí Minh.</t>
  </si>
  <si>
    <t>23/10/2020 FT20297A04009491\XNV 10321656622015 (B/O Cty TNHH Kien Ha) THANH TOAN PHAN MEM + DICH VU PHAM MEM HOA DON DIEN TU - MST 0303584795  925,000</t>
  </si>
  <si>
    <t>CÔNG TY TNHH MỘT THÀNH VIÊN THƯƠNG MẠI HOÀNG TIẾN</t>
  </si>
  <si>
    <t>0200737986</t>
  </si>
  <si>
    <t>Đội 2 - Xã An Hồng - Huyện An Dương - Hải Phòng.</t>
  </si>
  <si>
    <t>Chị Hồng 0961732935</t>
  </si>
  <si>
    <t>Đã TT Long 1.9tr</t>
  </si>
  <si>
    <t>Đã TT Long chuyển vào NCM</t>
  </si>
  <si>
    <t>Anh Hoàng Mập</t>
  </si>
  <si>
    <t>27/10/2020 FT20301A02000208\XNV 10321656622015 (B/O CN CTY TNHH DV VA TM CHON THANH-NHA MAY) MST 0303792837-003 NOP TIEN CHU KYSO  3,110,800</t>
  </si>
  <si>
    <t>27/10/2020 FT20301906647056\BNK 10321656622015 THANH TOAN TIEN HOP DONG GIA HAN DI CH VU CHU KY SO BHXH DIEN TU (CHUNG THU SO CA2)  1,277,100</t>
  </si>
  <si>
    <t xml:space="preserve"> CÔNG TY TNHH MỘT THÀNH VIÊN SẢN XUẤT - THƯƠNG MẠI PHI HIẾU</t>
  </si>
  <si>
    <t>506 Nguyễn Chí Thanh, tổ 17, khu phố 3 - Phường Hiệp An - Thành phố Thủ Dầu Một - Bình Dương.</t>
  </si>
  <si>
    <t>3701896848</t>
  </si>
  <si>
    <t>CÔNG TY TNHH TRUNG TÂM DỮ LIỆU HÀ NỘI - CSF</t>
  </si>
  <si>
    <t>0104162774</t>
  </si>
  <si>
    <t>Số 2 phố Chùa Bộc - Phường Trung Tự - Quận Đống đa - Hà Nội.</t>
  </si>
  <si>
    <t>CÔNG TY TNHH LONG QUỐC ĐẠT</t>
  </si>
  <si>
    <t>0311053075</t>
  </si>
  <si>
    <t>32/16A5 Tô Ký - phường Tân Chánh Hiệp - Quận 12 - TP Hồ Chí Minh.</t>
  </si>
  <si>
    <t>CÔNG TY CỔ PHẦN NHÔM THÉP VIỆT PHÁP</t>
  </si>
  <si>
    <t>Km3, quốc lộ 10 - Phường Đông Mai - Thị xã Quảng Yên - Quảng Ninh.</t>
  </si>
  <si>
    <t>5700569760</t>
  </si>
  <si>
    <t>0343627689</t>
  </si>
  <si>
    <t>CÔNG TY TNHH DỊCH VỤ CƠ KHÍ KHẢI HOÀN</t>
  </si>
  <si>
    <t>2300815381</t>
  </si>
  <si>
    <t>Số 163 Tân Lập - Phường Đình Bảng - Thị xã Từ Sơn - Bắc Ninh.</t>
  </si>
  <si>
    <t>0913383077 Anh Khải</t>
  </si>
  <si>
    <t xml:space="preserve">0983698607 </t>
  </si>
  <si>
    <t xml:space="preserve"> CÔNG TY TNHH XUẤT NHẬP KHẨU NHÂN TRUNG</t>
  </si>
  <si>
    <t>0315965812</t>
  </si>
  <si>
    <t>276/24 Tân Hòa Đông - Phường Bình Trị Đông - Quận Bình Tân - TP Hồ Chí Minh.</t>
  </si>
  <si>
    <t>baonhanngo.kt@gmail.com</t>
  </si>
  <si>
    <t xml:space="preserve"> CÔNG TY TNHH DU LỊCH VÀ THƯƠNG MẠI VIET HOUSE</t>
  </si>
  <si>
    <t xml:space="preserve"> 0107590915</t>
  </si>
  <si>
    <t>Số 33, ngõ 80/101/32, TDP 2 Tu Hoàng - Phường Phương Canh - Quận Nam Từ Liêm - Hà Nội.</t>
  </si>
  <si>
    <t>CÔNG TY CỔ PHẦN DỊCH VỤ VUI CHƠI GIẢI TRÍ ĐÀ LẠT</t>
  </si>
  <si>
    <t>5801377952</t>
  </si>
  <si>
    <t>Số 14 đường Trương Công Định - Phường 1 - Thành phố Đà Lạt - Lâm Đồng.</t>
  </si>
  <si>
    <t>27/10/2020 FT20301A01015985\XNV 10321656622015 (B/O NGUYEN THI NGOC TRAN) CONG TY GIAI TRI DA LAT THANH TOAN TIEN GIA HAN TOKEN 2 NAM  2,191,200</t>
  </si>
  <si>
    <t>CÔNG TY TNHH Y HỌC LƯỢNG TỬ ÂU VIỆT</t>
  </si>
  <si>
    <t>0107605544</t>
  </si>
  <si>
    <t>Liền kề 16-19 Khu đô thị mới An Hưng - Phường La Khê - Quận Hà Đông - Hà Nội.</t>
  </si>
  <si>
    <t>0962895293 Chị Hà</t>
  </si>
  <si>
    <t>CÔNG TY TNHH CÔNG NGHỆ THÔNG MINH AN VIỆT SÔNG HỒNG</t>
  </si>
  <si>
    <t xml:space="preserve"> 0107598216</t>
  </si>
  <si>
    <t>Phòng 301A tầng 3 khối B , số 7 và số 9 đường Nguyễn Văn Lin - Phường Gia Thuỵ - Quận Long Biên - Hà Nội.</t>
  </si>
  <si>
    <t>Ngô Bảo Nhân - 0834931177</t>
  </si>
  <si>
    <t>CÔNG TY TNHH PHÁT TRIỂN Y DƯỢC TRUNG HẢI</t>
  </si>
  <si>
    <t>0108006494</t>
  </si>
  <si>
    <t>Số 247, Lô C6, Khu đô thị Đại Kim - Phường Đại Kim - Quận Hoàng Mai - Hà Nội.</t>
  </si>
  <si>
    <t>CÔNG TY CỔ PHẦN CÔNG NGHỆ THIẾT BỊ AN NINH KTEK</t>
  </si>
  <si>
    <t>0312695660</t>
  </si>
  <si>
    <t>50/40/21 Đường 59 - Phường 14 - Quận Gò Vấp - TP Hồ Chí Minh.</t>
  </si>
  <si>
    <t>Phương 0934 252 040</t>
  </si>
  <si>
    <t>Email: ketoan@ktek.com.vn</t>
  </si>
  <si>
    <t>CÔNG TY CỔ PHẦN QUỐC TẾ CÔNG NGHỆ TƯƠNG LAI</t>
  </si>
  <si>
    <t>0105159848</t>
  </si>
  <si>
    <t>Số 31, tổ 9 - Phường Thịnh Liệt - Quận Hoàng Mai - Hà Nội.</t>
  </si>
  <si>
    <t>0358696486 Chị Nhung</t>
  </si>
  <si>
    <t>CÔNG TY CỔ PHẦN CÔNG NGHỆ F-LINK VIỆT NAM</t>
  </si>
  <si>
    <t>0106603424</t>
  </si>
  <si>
    <t>Số A11, ngõ 234, đường Hoàng Quốc Việt - Phường Cổ Nhuế 1 - Quận Bắc Từ Liêm - Hà Nội.</t>
  </si>
  <si>
    <t>0964286386</t>
  </si>
  <si>
    <t>CÔNG TY CỔ PHẦN ĐẦU TƯ XÂY DỰNG VÀ PHÁT TRIỂN CÔNG NGHỆ CAO VIỆT NAM</t>
  </si>
  <si>
    <t>0102675379</t>
  </si>
  <si>
    <t>Tầng 01 toà nhà VIMECO, lô E9 đường phạm Hùng, P.Trung Hoà - Phường Trung Hoà - Quận Cầu Giấy - Hà Nội.</t>
  </si>
  <si>
    <t>CÔNG TY CỔ PHẦN TẬP ĐOÀN TRUYỀN THÔNG HẢI ÂU</t>
  </si>
  <si>
    <t>Số 72 tổ dân phố Thượng, phố Miếu Đầm - Phường Mễ Trì - Quận Nam Từ Liêm - Hà Nội.</t>
  </si>
  <si>
    <t>0107612083</t>
  </si>
  <si>
    <t xml:space="preserve"> CÔNG TY TNHH THƯƠNG MẠI SẮT THÉP ĐẠI TÍN NGHĨA</t>
  </si>
  <si>
    <t xml:space="preserve"> 0314192711</t>
  </si>
  <si>
    <t xml:space="preserve"> 0314673535</t>
  </si>
  <si>
    <t>32/5B Đặng Thúc Vịnh, Tổ 96, ấp Tam Đông 3 - Xã Thới Tam Thôn - Huyện Hóc Môn - TP Hồ Chí Minh</t>
  </si>
  <si>
    <t>CÔNG TY TNHH TM DV TRANG TRÍ NỘI THẤT PHÚC TIẾN</t>
  </si>
  <si>
    <t>0314389475</t>
  </si>
  <si>
    <t>46 Đường TL29 - phường Thạnh Lộc - Quận 12 - TP Hồ Chí Minh.</t>
  </si>
  <si>
    <t>NGÂN HÀNG THƯƠNG MẠI CỔ PHẦN XĂNG DẦU PETROLIMEX - CHI NHÁNH ĐÀ NẴNG</t>
  </si>
  <si>
    <t>CÔNG TY TRÁCH NHIỆM HỮU HẠN THIẾT BỊ ĐIỆN QUÂN TẤN</t>
  </si>
  <si>
    <t>0313960745</t>
  </si>
  <si>
    <t>56/5M Tam Đông 3 - Xã Thới Tam Thôn - Huyện Hóc Môn - TP Hồ Chí Minh.</t>
  </si>
  <si>
    <t>anh Quân  0906823459</t>
  </si>
  <si>
    <t>CÔNG TY TNHH ĐỒNG PHỤC HỒNG KHANG</t>
  </si>
  <si>
    <t>0108198997</t>
  </si>
  <si>
    <t xml:space="preserve"> NV2 � 26, Khu nhà ở Đại Mỗ - Phường Đại Mỗ - Quận Nam Từ Liêm - Hà Nội.</t>
  </si>
  <si>
    <t>CTY TNHH XÂY DỰNG THƯƠNG MẠI DỊCH VỤ LIÊN KỶ</t>
  </si>
  <si>
    <t>14/104 Tam Đông 2 Xã Thới Tam Thôn - Xã Thới Tam Thôn - Huyện Hóc Môn - TP Hồ Chí Minh.</t>
  </si>
  <si>
    <t>0309796436</t>
  </si>
  <si>
    <t xml:space="preserve"> 0201060256</t>
  </si>
  <si>
    <t>Số 18/C8 đường vòng Vạn Mỹ - Phường Vạn Mỹ - Quận Ngô Quyền - Hải Phòng.</t>
  </si>
  <si>
    <t>CÔNG TY TNHH THỰC PHẨM KHẨU VỊ GIA ĐÌNH</t>
  </si>
  <si>
    <t>Nguyệt 0988910962</t>
  </si>
  <si>
    <t>CÔNG TY CỔ PHẦN XÂY DỰNG IDT VIỆT NAM</t>
  </si>
  <si>
    <t>Nhà 1B, Nghách 70, Ngõ 15 đường Tả Thanh Oai, - Xã Tả Thanh Oai - Huyện Thanh Trì - Hà Nội.</t>
  </si>
  <si>
    <t>0109378495</t>
  </si>
  <si>
    <t>CÔNG TY TNHH SƠN HOA KỲ USA</t>
  </si>
  <si>
    <t>65/5D Tổ 21, ấp Chánh 1 - Xã Tân Xuân - Huyện Hóc Môn - TP Hồ Chí Minh.</t>
  </si>
  <si>
    <t>0314978897</t>
  </si>
  <si>
    <t xml:space="preserve">CÔNG TY TNHH THƯƠNG MẠI DỊCH VỤ QUẢNG CÁO 69 </t>
  </si>
  <si>
    <t>Số 122, tổ 12 phố Do Nha - Phường Tây Mỗ - Quận Nam Từ Liêm - Hà Nội.</t>
  </si>
  <si>
    <t>0107980471</t>
  </si>
  <si>
    <t xml:space="preserve"> CÔNG TY CỔ PHẦN KẾT CẤU K2T</t>
  </si>
  <si>
    <t>Số 14 Lê Văn Hưu - Phường Phạm Đình Hổ - Quận Hai Bà Trưng - Hà Nội.</t>
  </si>
  <si>
    <t>0105787698</t>
  </si>
  <si>
    <t xml:space="preserve"> CÔNG TY TNHH KINH DOANH THƯƠNG MẠI DỊCH VỤ HÙNG PHÁT</t>
  </si>
  <si>
    <t>Số 50 Thành Nam - Phường Trần Tế Xương - Thành phố Nam Định - Nam Định.</t>
  </si>
  <si>
    <t>0601113174</t>
  </si>
  <si>
    <t>Em Linh: 0917835155</t>
  </si>
  <si>
    <t>CÔNG TY CỔ PHẦN JV NETWORK</t>
  </si>
  <si>
    <t>Cụm 8 - Thị trấn Phúc Thọ - Huyện Phúc Thọ - Hà Nội.</t>
  </si>
  <si>
    <t xml:space="preserve"> 0106606150</t>
  </si>
  <si>
    <t xml:space="preserve"> CÔNG TY TNHH THƯƠNG MẠI VÀ DỊCH VỤ QUỐC TẾ BẮC HÀ</t>
  </si>
  <si>
    <t>Tầng 5, tòa nhà ICT, lô 02 � 9A, Khu công nghiệp Hoàng Mai, - Phường Hoàng Văn Thụ - Quận Hoàng Mai - Hà Nội.</t>
  </si>
  <si>
    <t>0109227009</t>
  </si>
  <si>
    <t>CÔNG TY TNHH BONOTOX VIỆT NAM</t>
  </si>
  <si>
    <t>Số LKB 12-09- Vinhomes Gardenia - Phường Cầu Diễn - Quận Nam Từ Liêm - Hà Nội.</t>
  </si>
  <si>
    <t>0107753824</t>
  </si>
  <si>
    <t>0977447159 Anh Hưng</t>
  </si>
  <si>
    <t>CÔNG TY CỔ PHẦN XUẤT NHẬP KHẨU GS VIỆT NAM</t>
  </si>
  <si>
    <t>Số 1, ngõ 318/4, đường Ngọc Thụy - Phường Ngọc Thuỵ - Quận Long Biên - Hà Nội.</t>
  </si>
  <si>
    <t>0106022959</t>
  </si>
  <si>
    <t>0901794566 Chị Huyền</t>
  </si>
  <si>
    <t>CÔNG TY TNHH DỊCH VỤ THƯƠNG MẠI QUỐC TẾ BẢO MINH</t>
  </si>
  <si>
    <t>5701814912</t>
  </si>
  <si>
    <t>Số 192C, tổ 8, khu 2 - Phường Trưng Vương - Thành phố Uông Bí - Quảng Ninh.</t>
  </si>
  <si>
    <t xml:space="preserve">0389668677 </t>
  </si>
  <si>
    <t xml:space="preserve"> CÔNG TY LUẬT TNHH VÀ TƯ VẤN TONY</t>
  </si>
  <si>
    <t>0105855309</t>
  </si>
  <si>
    <t>Tầng 16 TN Charmvit, 117 Trần Duy Hưng - Phường Trung Hoà - Quận Cầu Giấy - Hà Nội.</t>
  </si>
  <si>
    <t>0105208414</t>
  </si>
  <si>
    <t>Nhà 2B, ngõ 255, đường Cầu Giấy - Phường Dịch Vọng - Quận Cầu Giấy - Hà Nội.</t>
  </si>
  <si>
    <t>0986668176 Chị Quyên</t>
  </si>
  <si>
    <t>CÔNG TY CỔ PHẦN BẢO TÍN HÀ NỘI</t>
  </si>
  <si>
    <t xml:space="preserve"> CÔNG TY CỔ PHẦN ĐẦU TƯ VÀ XÂY LẮP 579 HÀ NỘI</t>
  </si>
  <si>
    <t>0106499283</t>
  </si>
  <si>
    <t>Số 47 phố Hoàng Văn Thái - Phường Khương Mai - Quận Thanh Xuân - Hà Nội.</t>
  </si>
  <si>
    <t>0918337981 Chị Dung</t>
  </si>
  <si>
    <t>CÔNG TY CỔ PHẦN ĐẦU TƯ VÀ HỢP TÁC QUỐC TẾ VIỆT NAM</t>
  </si>
  <si>
    <t>Số 17, ngõ 133 phố Thái Hà - Phường Trung Liệt - Quận Đống đa - Hà Nội.</t>
  </si>
  <si>
    <t>0101826353</t>
  </si>
  <si>
    <t>CÔNG TY CỔ PHẦN ĐẦU TƯ PHÁT TRIỂN CÔNG NGHỆ VHT</t>
  </si>
  <si>
    <t>Nhà số 20 ngõ 241 Phố Chợ Khâm Thiên - Phường Phương Liên - Quận Đống đa - Hà Nội.</t>
  </si>
  <si>
    <t>0107572803</t>
  </si>
  <si>
    <t>Đã CK cho Long</t>
  </si>
  <si>
    <t>CÔNG TY TNHH KINH DOANH XĂNG DẦU MINH HIẾN</t>
  </si>
  <si>
    <t>CÔNG TY TNHH JUNHEE BEAUTY CENTER VIỆT NAM</t>
  </si>
  <si>
    <t>Số nhà 35 ngõ 405, đường Bát Khối - Phường Long Biên - Quận Long Biên - Hà Nội.</t>
  </si>
  <si>
    <t>0106364180</t>
  </si>
  <si>
    <t>0356227800 CHị Hương</t>
  </si>
  <si>
    <t>200000 (cho Linh)</t>
  </si>
  <si>
    <t>Chị Sang: 0975902889</t>
  </si>
  <si>
    <t>CÔNG TY TNHH QUỐC TẾ ENPRO</t>
  </si>
  <si>
    <t>0106551663</t>
  </si>
  <si>
    <t>Số 362 đường Phương Canh, Tổ dân phố số 7 Hòe Thị - Phường Phương Canh - Quận Nam Từ Liêm - Hà Nội.</t>
  </si>
  <si>
    <t>0907010907 Anh Nam</t>
  </si>
  <si>
    <t>CÔNG TY TNHH CÂY XANH ĐÔ THỊ</t>
  </si>
  <si>
    <t>Thôn 1 - Xã Vạn Phúc - Huyện Thanh Trì - Hà Nội.</t>
  </si>
  <si>
    <t>0102022651</t>
  </si>
  <si>
    <t>0869396068 - gh hết hạn</t>
  </si>
  <si>
    <t>CÔNG TY TRÁCH NHIỆM HỮU HẠN THƯƠNG MẠI VÀ VẬN TẢI HẢI NGUYÊN</t>
  </si>
  <si>
    <t>Số 27/11 Tổ 41 Cụm 7 - Phường Đông khê - - Quận Ngô Quyền - Hải Phòng.</t>
  </si>
  <si>
    <t>0200881820</t>
  </si>
  <si>
    <t>Số 337 Trường Chinh, Thôn Tiến Hưng - Xã Tiến Lợi - Thành phố Phan Thiết - Bình Thuận.</t>
  </si>
  <si>
    <t>083 874 9978</t>
  </si>
  <si>
    <t>CÔNG TY CỔ PHẦN ĐẦU TƯ KỶ TÂM CAO SƠN</t>
  </si>
  <si>
    <t>Văn phòng công ty than Cao Sơn - Phường Cẩm Sơn - Thành phố Cẩm Phả - Quảng Ninh.</t>
  </si>
  <si>
    <t xml:space="preserve"> 5700702821</t>
  </si>
  <si>
    <t>0101805988</t>
  </si>
  <si>
    <t xml:space="preserve"> CÔNG TY TNHH THƯƠNG MẠI, DỊCH VỤ VÀ DU LỊCH QUỐC TẾ Á CHÂU</t>
  </si>
  <si>
    <t>Tầng 2, khu văn phòng, số nhà 18 phố Yên Ninh - Phường Trúc Bạch - Quận Ba Đình - Hà Nội.</t>
  </si>
  <si>
    <t>0936381682</t>
  </si>
  <si>
    <t>CÔNG TY TNHH DỊCH VỤ VÀ THƯƠNG MẠI THANH NGA</t>
  </si>
  <si>
    <t>Long - Dung</t>
  </si>
  <si>
    <t>0107503630</t>
  </si>
  <si>
    <t>Số 66 ngõ 1194, đường Láng - Phường Láng Thượng - Quận Đống đa - Hà Nội.</t>
  </si>
  <si>
    <t>Thường DTN</t>
  </si>
  <si>
    <t xml:space="preserve"> DOANH NGHIỆP TƯ NHÂN THÁI NGUYÊN</t>
  </si>
  <si>
    <t>Khu phố 1 - Phường Ba Đồn - Thị Xã Ba Đồn - Quảng Bình.</t>
  </si>
  <si>
    <t>3100719386</t>
  </si>
  <si>
    <t>CÔNG TY TNHH THANH TÙNG</t>
  </si>
  <si>
    <t>Tổ dân phố Gốc Gạo - TT Gia Khánh - Huyện Bình Xuyên - Vĩnh Phúc.</t>
  </si>
  <si>
    <t>2500229521</t>
  </si>
  <si>
    <t>0913160581 Anh Phương</t>
  </si>
  <si>
    <t>CÔNG TY TNHH CƠ KHÍ THƯƠNG MẠI TUỆ LÂM</t>
  </si>
  <si>
    <t>thôn Rích Gạo - Xã Phù Chẩn - Thị xã Từ Sơn - Bắc Ninh.</t>
  </si>
  <si>
    <t>2300847834</t>
  </si>
  <si>
    <t>0904121226 Anh Thoan</t>
  </si>
  <si>
    <t>0106011040</t>
  </si>
  <si>
    <t xml:space="preserve"> CÔNG TY TNHH THƯƠNG MẠI VÀ DƯỢC PHẨM PHƯỚC BÌNH</t>
  </si>
  <si>
    <t>Số nhà 35/58, phố Mạc Thị Bưởi - Phường Vĩnh Tuy - Quận Hai Bà Trưng - Hà Nội.</t>
  </si>
  <si>
    <t>0979611921 CHị Mai</t>
  </si>
  <si>
    <t>Số 105, tổ 67 - Phường Tương Mai - Quận Hoàng Mai - Hà Nội.</t>
  </si>
  <si>
    <t>CÔNG TY TNHH THƯƠNG MẠI QUỐC TẾ FIVE STAR</t>
  </si>
  <si>
    <t>0106857267</t>
  </si>
  <si>
    <t>CÔNG TY TNHH HOÀN THIỆN NỘI THẤT HÒA ANH</t>
  </si>
  <si>
    <t>Số 31, tổ dân phố 17 - Phường Trung Văn - Quận Nam Từ Liêm - Hà Nội.</t>
  </si>
  <si>
    <t>0106892092</t>
  </si>
  <si>
    <t>CÔNG TY TNHH AN CHIN</t>
  </si>
  <si>
    <t xml:space="preserve"> 0304712312</t>
  </si>
  <si>
    <t>Số 24/5A, ấp 3 Đường Nguyễn Thị Thử - Xã Xuân Thới Sơn - Huyện Hóc Môn - TP Hồ Chí Minh.</t>
  </si>
  <si>
    <t>CÔNG TY XÂY DỰNG VƯỢNG YẾN - (TRÁCH NHIỆM HỮU HẠN)</t>
  </si>
  <si>
    <t>2300245004</t>
  </si>
  <si>
    <t>Thôn Hoài Trung - Xã Liên Bão - Huyện Tiên Du - Bắc Ninh.</t>
  </si>
  <si>
    <t>CÔNG TY TNHH MỘT THÀNH VIÊN SẢN XUẤT THƯƠNG MẠI DỊCH VỤ HA NA KA YA</t>
  </si>
  <si>
    <t>186/1C ấp Tân Thới 3 - Xã Tân Hiệp - Huyện Hóc Môn - TP Hồ Chí Minh.</t>
  </si>
  <si>
    <t>0309279276</t>
  </si>
  <si>
    <t>VĂN PHÒNG LUẬT SƯ ÁNH ANH</t>
  </si>
  <si>
    <t>Số nhà 32, phố Lê Lai, Tổ 1, Khu 3 - Phường Yết Kiêu - Thành phố Hạ Long - Quảng Ninh.</t>
  </si>
  <si>
    <t xml:space="preserve"> 5701500264</t>
  </si>
  <si>
    <t>CÔNG TY CỔ PHẦN AN SƠN NAM</t>
  </si>
  <si>
    <t>44 Vũ Tông Phan - Phường An Phú - Quận 2 - TP Hồ Chí Minh.</t>
  </si>
  <si>
    <t>0314650697</t>
  </si>
  <si>
    <t>Quận 2</t>
  </si>
  <si>
    <t>0108527793</t>
  </si>
  <si>
    <t>CÔNG TY TNHH CÔNG NGHỆ ĐỊNH DANH RIGEL</t>
  </si>
  <si>
    <t>Số 14 ngách 366/68 Ngọc Lâm - Phường Ngọc Lâm - Quận Long Biên - Hà Nội – Việt Nam</t>
  </si>
  <si>
    <t>C Lâm 0987772826</t>
  </si>
  <si>
    <t>CÔNG TY TNHH MTV GIẶT LÀ MINH CƯƠNG</t>
  </si>
  <si>
    <t>5701845903</t>
  </si>
  <si>
    <t>0374694899 Chị Vân</t>
  </si>
  <si>
    <t>Tổ 3, Khu 8 Bến Do - Phường Cẩm Thành - Thành phố Cẩm Phả - Quảng Ninh.</t>
  </si>
  <si>
    <t>CÔNG TY TNHH DỊCH VỤ TIN HỌC MEGAVIEW</t>
  </si>
  <si>
    <t>Số 18 ngõ Hàng Chỉ, Phố Hàng Hòm - Phường Hàng Gai - Quận Hoàn Kiếm - Hà Nội.</t>
  </si>
  <si>
    <t>0108352007</t>
  </si>
  <si>
    <t>Chị Thuần: 098.727.5566</t>
  </si>
  <si>
    <t xml:space="preserve"> CÔNG TY CỔ PHẦN CÔNG NGHỆ THIẾT BỊ AN NINH KTEK</t>
  </si>
  <si>
    <t>0934 252 040</t>
  </si>
  <si>
    <t>Chúc đã chuyển vào Nacencomm</t>
  </si>
  <si>
    <t>CÔNG TY TRÁCH NHIỆM HỮU HẠN TẠ THỊ NGỮ</t>
  </si>
  <si>
    <t>2700673886</t>
  </si>
  <si>
    <t>Xóm Miễu - Xã Khánh An - Huyện Yên Khánh - Ninh Bình.</t>
  </si>
  <si>
    <t>0359896556 Anh  Quân</t>
  </si>
  <si>
    <t>CÔNG TY TNHH EMET-I</t>
  </si>
  <si>
    <t>53 đường số 6 - Phường Long Trường - Quận 9 - TP Hồ Chí Minh.</t>
  </si>
  <si>
    <t xml:space="preserve"> CÔNG TY CỔ PHẦN VẬN CHUYỂN NAM SƠN</t>
  </si>
  <si>
    <t>0312898029</t>
  </si>
  <si>
    <t>0104795777</t>
  </si>
  <si>
    <t>Số 5 ngõ 32 Đặng Trần Côn - Phường Quốc Tử Giám - Quận Đống đa - Hà Nội.</t>
  </si>
  <si>
    <t>0983736968 mst</t>
  </si>
  <si>
    <t>FT20303A01008071\XNV 10321656622015 (B/O CT CP BAO TIN HA NOI) TC:000572.GIA HAN CHU KY SO 3 NAM  2,400,000</t>
  </si>
  <si>
    <t>05/11/2020FT20310986577879\NKT10321656622015Cty vsbco chuyen tien chu ky so2,100,000</t>
  </si>
  <si>
    <t>CÔNG TY TNHH DU LỊCH DLACA</t>
  </si>
  <si>
    <t>0108718773</t>
  </si>
  <si>
    <t>số 14, tổ 1 - Phường Giang Biên - Quận Long Biên - Hà Nội.</t>
  </si>
  <si>
    <t xml:space="preserve">0946995260, 0383623113 Anh Tiến </t>
  </si>
  <si>
    <t>CÔNG TY TNHH ĐẦU TƯ PHÁT TRIỂN KỸ THUẬT CÔNG NGHỆ VIỆT THÀNH</t>
  </si>
  <si>
    <t>Số 26, ngách 173, ngõ 192, phố Lê Trọng Tấn - Phường Định Công - Quận Hoàng Mai - Hà Nội.</t>
  </si>
  <si>
    <t>0105381930</t>
  </si>
  <si>
    <t>CÔNG TY TNHH DỊCH VỤ XÂY DỰNG VÀ THIẾT KẾ ARTECH VN</t>
  </si>
  <si>
    <t>65/1 Phạm Ngọc Chi, ấp Tân Tiến - Xã Xuân Thới Đông - Huyện Hóc Môn - TP Hồ Chí Minh.</t>
  </si>
  <si>
    <t>0312616468</t>
  </si>
  <si>
    <t>31/10/2020 FT20305536097133\BNK 10321656622015 0312616468-CTY TNHH DV XD TK ARTEC H VN-CA2-EI500-311020-09:39:33 9539 27  925,000</t>
  </si>
  <si>
    <t>CÔNG TY TNHH THƯƠNG MẠI HẠ AN VDRUG</t>
  </si>
  <si>
    <t>0108846694</t>
  </si>
  <si>
    <t>Số 1A/A3 TT D8, ngõ 673 đường Ngọc Hồi - Xã Tứ Hiệp - Huyện Thanh Trì - Hà Nội.</t>
  </si>
  <si>
    <t>05/10/2020 FT20279160047566\LNM 10321656622015 Cty DHH tt tien hang  6,221,600</t>
  </si>
  <si>
    <t>TT Long đã chuyển cho Chúc để vào NCM</t>
  </si>
  <si>
    <t>CÔNG TY CỔ PHẦN THIẾT KẾ VÀ XÂY DỰNG NGUYỄN GIA</t>
  </si>
  <si>
    <t>0106200520</t>
  </si>
  <si>
    <t>03/11/2020 FT20308495497002\BNK 10321656622015 CTy NGuyen Gia - 0106200520- TT gia han CA2  1,100,000</t>
  </si>
  <si>
    <t>CÔNG TY TNHH KINH DOANH THƯƠNG MẠI DỊCH VỤ HÙNG PHÁT</t>
  </si>
  <si>
    <t>Linh Hùng Phát</t>
  </si>
  <si>
    <t xml:space="preserve"> Số 50 Thành Nam - Phường Trần Tế Xương - Thành phố Nam Định - Nam Định.</t>
  </si>
  <si>
    <t xml:space="preserve">Công Ty Cổ Phần Ec </t>
  </si>
  <si>
    <t>0103563163</t>
  </si>
  <si>
    <t>0981521355 Chị Dung</t>
  </si>
  <si>
    <t>Đã tt Long 2.1tr ngày 15/10</t>
  </si>
  <si>
    <t>TT Nacencomm 2.4tr 09.11</t>
  </si>
  <si>
    <t>09/11/2020 FT20314A07001156\XNV 10321656622015 (B/O CT TNHH KD TM DV HUNG PHAT) 060113174 - cong ty tnhh kinh doanh thuong mai dich vu hung phat  5,860,800</t>
  </si>
  <si>
    <t xml:space="preserve"> 04/11/2020 FT20309505112351\HMN 10321656622015 Cty Minh Tri thanh toan phan mem ho a don  1,175,000</t>
  </si>
  <si>
    <t>TT TK Long 925K</t>
  </si>
  <si>
    <t>CÔNG TY CỔ PHẦN TƯ VẤN ĐẦU TƯ XÂY DỰNG CÔNG TRÌNH 189 VIỆT NAM</t>
  </si>
  <si>
    <t xml:space="preserve"> 0105513062</t>
  </si>
  <si>
    <t>Số nhà 12, ngách 565/7 đường Nguyễn Trãi - Phường Văn Quán - Quận Hà Đông - Hà Nội.</t>
  </si>
  <si>
    <t>CÔNG TY CỔ PHẦN SẢN XUẤT VÀ ĐẦU TƯ KIM SƠN</t>
  </si>
  <si>
    <t>0100512587</t>
  </si>
  <si>
    <t>Số nhà 244, Đường Dương Văn Bé - Phường Vĩnh Tuy - Quận Hai Bà Trưng - Hà Nội.</t>
  </si>
  <si>
    <t>CÔNG TY CỔ PHẦN VẬN TẢI DỊCH VỤ &amp; THƯƠNG MẠI MK</t>
  </si>
  <si>
    <t>04/11/2020 FT20309557002763\BNK 10321656622015 cty MK tra tien mua hoa don dien tu  800,000</t>
  </si>
  <si>
    <t>160 Nguyễn Văn Trỗi - Phường Minh Khai - Thành phố Phủ Lý - Hà Nam.</t>
  </si>
  <si>
    <t>0700840124</t>
  </si>
  <si>
    <t>Xebushanghoa@gmail.com</t>
  </si>
  <si>
    <t>0983488583</t>
  </si>
  <si>
    <t>CÔNG TY TNHH MỘT THÀNH VIÊN HBA</t>
  </si>
  <si>
    <t>0700641344</t>
  </si>
  <si>
    <t>Cụm công nghiệp Tây Nam - Phường Châu Sơn - Thành phố Phủ Lý - Hà Nam.</t>
  </si>
  <si>
    <t>CÔNG TY CỔ PHẦN THUỶ THIÊN NHU</t>
  </si>
  <si>
    <t>0106357507</t>
  </si>
  <si>
    <t>Tổ dân phố Đình 2 - Phường Đại Mỗ - Quận Nam Từ Liêm - Hà Nội.</t>
  </si>
  <si>
    <t>0918836911</t>
  </si>
  <si>
    <t>CÔNG TY TRÁCH NHIỆM HỮU HẠN PAOLO THANH HÀ</t>
  </si>
  <si>
    <t xml:space="preserve"> 0108318006</t>
  </si>
  <si>
    <t>số 8 ngõ 135, đường Quang Tiến - Phường Đại Mỗ - Quận Nam Từ Liêm - Hà Nội.</t>
  </si>
  <si>
    <t>12/11/2020 FT20317057650781\NQN 10321656622015 Cty bao nam ck  2,400,000</t>
  </si>
  <si>
    <t>CÔNG TY TNHH MỘT THÀNH VIÊN NGUYÊN AN</t>
  </si>
  <si>
    <t>3701741682</t>
  </si>
  <si>
    <t>385/40D đường Lê Hồng Phong, Tổ 7, Khu 8 - Phường Phú Hòa - Thành phố Thủ Dầu Một - Bình Dương.</t>
  </si>
  <si>
    <t>12/11/2020 FT20317A06005521\XNV 10321656622015 (B/O CT TNHH MOT THANH VIEN NGUYEN AN) TC:505860130.CTY TNHH MTV NGUYEN AN - MST: 3701741682-CHUYEN TIEN DV CHUNG THU SO CA2 - VAT 19855  2,907,300</t>
  </si>
  <si>
    <t xml:space="preserve"> CÔNG TY TNHH TM DV TRANG TRÍ NỘI THẤT PHÚC TIẾN</t>
  </si>
  <si>
    <t>TRƯỜNG TRUNG CẤP Y DƯỢC LÊ HỮU TRÁC</t>
  </si>
  <si>
    <t>CÔNG TY CỔ PHẦN FACOGO</t>
  </si>
  <si>
    <t>093 5666988</t>
  </si>
  <si>
    <t>Số 376 phố Xã Đàn, - Phường Nam Đồng - Quận Đống đa - Hà Nội.</t>
  </si>
  <si>
    <t>0109403776</t>
  </si>
  <si>
    <t>CÔNG TY TNHH CÔNG NGHỆ FACECODE TOÀN CẦU</t>
  </si>
  <si>
    <t>Tầng 12A, tòa Geleximco, số 36 Hoàng Cầu - Phường ô Chợ Dừa - Quận Đống đa - Hà Nội.</t>
  </si>
  <si>
    <t>0109407837</t>
  </si>
  <si>
    <t xml:space="preserve">Chị ngà Đường lợi nhân: 0917358768 </t>
  </si>
  <si>
    <t>CTY TNHH MTV XÂY DỰNG THƯƠNG MẠI DỊCH VỤ THƯ KỲ</t>
  </si>
  <si>
    <t>0309390436</t>
  </si>
  <si>
    <t>48/1 ấp Trung Đông Xã Thới Tam Thôn - Xã Thới Tam Thôn - Huyện Hóc Môn - TP Hồ Chí Minh.</t>
  </si>
  <si>
    <t>0987481964</t>
  </si>
  <si>
    <t>CÔNG TY TNHH THỰC PHẨM THƯƠNG MẠI SAO BIỂN</t>
  </si>
  <si>
    <t>Nhà số 2, dãy C12A, Ngõ 261 Trần Quốc Hoàn, - Phường Dịch Vọng Hậu - Quận Cầu Giấy - Hà Nội.</t>
  </si>
  <si>
    <t>0109408277</t>
  </si>
  <si>
    <t xml:space="preserve"> CÔNG TY TNHH XÂY DỰNG DÂN DỤNG VÀ CÔNG NGHIỆP INCO</t>
  </si>
  <si>
    <t>CÔNG TY CỔ PHẦN THỦY ĐIỆN THUẬN HÒA HÀ GIANG ( NHÀ THẦU)</t>
  </si>
  <si>
    <t>5100413578</t>
  </si>
  <si>
    <t>Nhà A2 khu Hà Trung Tổ 8 - Phường Quang Trung - TP Hà Giang - Hà Giang.</t>
  </si>
  <si>
    <t>0984107166</t>
  </si>
  <si>
    <t xml:space="preserve"> CÔNG TY TNHH DỊCH VỤ VÀ ĐẦU TƯ THƯƠNG MẠI AN THỊNH PHÁT</t>
  </si>
  <si>
    <t>0106333030</t>
  </si>
  <si>
    <t>Số 255 đường Trung Văn - Phường Trung Văn - Quận Nam Từ Liêm - Hà Nội.</t>
  </si>
  <si>
    <t>Hà Tây Bắc</t>
  </si>
  <si>
    <t xml:space="preserve"> CÔNG TY CỔ PHẦN ĐẦU TƯ VÀ XÂY DỰNG 389 SÔNG HỒNG </t>
  </si>
  <si>
    <t>Tầng 2, Số 5/dãy D, ngõ 319 Đường Tam Trinh - Phường Hoàng Văn Thụ - Quận Hoàng Mai - Hà Nội.</t>
  </si>
  <si>
    <t>0105558835</t>
  </si>
  <si>
    <t>CÔNG TY TNHH XÂY DỰNG VÀ THƯƠNG MẠI THU CÚC</t>
  </si>
  <si>
    <t xml:space="preserve">Số 9B, hẻm 107/214, ngách 107/60/2, tổ 40, đường Lĩnh Nam - Phường Vĩnh Hưng - Quận Hoàng Mai - Hà Nội.
</t>
  </si>
  <si>
    <t>0106759534</t>
  </si>
  <si>
    <t xml:space="preserve"> CÔNG TY TNHH SẢN XUẤT THƯƠNG MẠI DỊCH VỤ TOÀN NĂNG</t>
  </si>
  <si>
    <t>0306031816</t>
  </si>
  <si>
    <t>3/96A, ấp Đình - Xã Tân Xuân - Huyện Hóc Môn - TP Hồ Chí Minh.</t>
  </si>
  <si>
    <t>Hóc Môn</t>
  </si>
  <si>
    <t>17/11/2020 FT20322986524002\BNK 10321656622015 chu ky so toan nang  500,000</t>
  </si>
  <si>
    <t>CÔNG TY TNHH MỘT THÀNH VIÊN TRANG TRÍ NỘI THẤT TIẾN ĐẠT</t>
  </si>
  <si>
    <t>17/4D ấp Hưng Lân Xã Bà Điểm - Xã Bà Điểm - Huyện Hóc Môn - TP Hồ Chí Minh.</t>
  </si>
  <si>
    <t>0309312325</t>
  </si>
  <si>
    <t>Đã TT 680K</t>
  </si>
  <si>
    <t>120K</t>
  </si>
  <si>
    <t>CÔNG TY TNHH PHÁT TRIỂN GIÁO DỤC VÀ CÔNG NGHỆ CAO MINH PHONG</t>
  </si>
  <si>
    <t xml:space="preserve"> 0107429169</t>
  </si>
  <si>
    <t>Số 9, ngõ 56, đường Lê Quang Đạo - Phường Phú Đô - Quận Nam Từ Liêm - Hà Nội.</t>
  </si>
  <si>
    <t>CTY TNHH AN THIÊN</t>
  </si>
  <si>
    <t>0301941843</t>
  </si>
  <si>
    <t>ấp Tân Hoà X.Tân Hiệp - Xã Tân Hiệp - Huyện Hóc Môn - TP Hồ Chí Minh.</t>
  </si>
  <si>
    <t>CÔNG TY TNHH THƯƠNG MẠI DỊCH VỤ VÀ CÔNG NGHỆ VIỆT TRƯỜNG PHÁT</t>
  </si>
  <si>
    <t>0310835104</t>
  </si>
  <si>
    <t>16/8B ấp Đông Lân - Xã Bà Điểm - Huyện Hóc Môn - TP Hồ Chí Minh.</t>
  </si>
  <si>
    <t>13/11/2020 FT20318A01006916\XNV 10321656622015 (B/O CTY TNHH TMDV &amp; CN VIET TRUONG PHAT) CT TECHCOMBANK CN THANG LONG PGD KIM LIEN,TT TIEN MUA PHAN MEM HDDT CUA HD 0019930  800,000</t>
  </si>
  <si>
    <t>CÔNG TY CỔ PHẦN CMEDIA</t>
  </si>
  <si>
    <t>0109345330</t>
  </si>
  <si>
    <t>Số 01, ngách 402/42/14 đường Mỹ Đình, TDP số 7, - Phường Mỹ Đình 1 - Quận Nam Từ Liêm - Hà Nội.</t>
  </si>
  <si>
    <t>CÔNG TY TNHH PHÁT TRIỂN THƯƠNG MẠI VÀ ĐẦU TƯ KTL CAPITAL</t>
  </si>
  <si>
    <t>0109303203</t>
  </si>
  <si>
    <t>Số 174, đường Nguyễn Tuân, - Phường Nhân Chính - Quận Thanh Xuân - Hà Nội.</t>
  </si>
  <si>
    <t xml:space="preserve"> CÔNG TY TNHH THƯƠNG MẠI DỊCH VỤ THÀNH PHÁT VINA</t>
  </si>
  <si>
    <t xml:space="preserve"> 2301149991</t>
  </si>
  <si>
    <t>Thôn Dương Húc, - Xã Đại Đồng - Huyện Tiên Du - Bắc Ninh.</t>
  </si>
  <si>
    <t>0109396215</t>
  </si>
  <si>
    <t>Số 55 Thạch Bàn, - Phường Thạch Bàn - Quận Long Biên - Hà Nội.</t>
  </si>
  <si>
    <t xml:space="preserve"> CÔNG TY TNHH KỸ NGHỆ BẢO AN</t>
  </si>
  <si>
    <t>CÔNG TY TNHH THƯƠNG MẠI DỊCH VỤ DU LỊCH VẬN TẢI TRUNG KIÊN</t>
  </si>
  <si>
    <t>0310640433</t>
  </si>
  <si>
    <t>58/7A ấp Thới Tây 2 - Xã Tân Hiệp - Huyện Hóc Môn - TP Hồ Chí Minh.</t>
  </si>
  <si>
    <t>CÔNG TY TNHH 23.17 DESIGN</t>
  </si>
  <si>
    <t>Số 107 Chợ Mễ Sở, - Xã Mễ Sở - Huyện Văn Giang - Hưng Yên.</t>
  </si>
  <si>
    <t xml:space="preserve"> 0901088955</t>
  </si>
  <si>
    <t>12/11/2020 FT20317362060595\BNK 10321656622015 CTy TNHH 23.17 Design MST 090108895 5 ck hoa don dien tu 12.11  480,000</t>
  </si>
  <si>
    <t xml:space="preserve"> CÔNG TY TNHH TƯ VẤN XÂY DỰNG KHANG TRANG</t>
  </si>
  <si>
    <t>138/7 Hương Lộ 80B, Tổ 19, ấp 3 - Xã Đông Thạnh - Huyện Hóc Môn - TP Hồ Chí Minh.</t>
  </si>
  <si>
    <t>0313174357</t>
  </si>
  <si>
    <t xml:space="preserve"> CÔNG TY TNHH CÔNG NGHỆ FACECODE TOÀN CẦU</t>
  </si>
  <si>
    <t>Chị Ngà 0917358768</t>
  </si>
  <si>
    <t>Thanh toán Long 600K</t>
  </si>
  <si>
    <t xml:space="preserve"> CÔNG TY TNHH THƯƠNG MẠI NGŨ CUNG</t>
  </si>
  <si>
    <t>Số 5 ngõ 152 phố Hào Nam - Phường ô Chợ Dừa - Quận Đống đa - Hà Nội.</t>
  </si>
  <si>
    <t>0108389582</t>
  </si>
  <si>
    <t xml:space="preserve"> CÔNG TY CỔ PHẦN THƯƠNG MẠI NONSTOP</t>
  </si>
  <si>
    <t>A50, TT17 Khu đô thị Văn Quán - Phường Phúc La - Quận Hà Đông - Hà Nội.</t>
  </si>
  <si>
    <t>0108635710</t>
  </si>
  <si>
    <t>Chị Ly ô tô Việt Hải</t>
  </si>
  <si>
    <t>04/11/2020 FT20309037782107\VQN 10321656622015 Ck tien hoa don dien tu cty global. Nonstop .....  3,450,000</t>
  </si>
  <si>
    <t>acc-han@hanlogs.com</t>
  </si>
  <si>
    <t xml:space="preserve"> 13/10/2020 FT20287632957367\BDN 10321656622015 0107753768  675,000</t>
  </si>
  <si>
    <t xml:space="preserve"> CÔNG TY CỔ PHẦN THƯƠNG MẠI DỊCH VỤ TIẾP VẬN HÀ NỘI</t>
  </si>
  <si>
    <t xml:space="preserve"> CTY TNHH MTV XÂY DỰNG THƯƠNG MẠI DỊCH VỤ THƯ KỲ</t>
  </si>
  <si>
    <t>CÔNG TY TNHH DỊCH VỤ THƯƠNG MẠI ĐẠI GIANG LONG</t>
  </si>
  <si>
    <t>0316023099</t>
  </si>
  <si>
    <t>Số 4A đường số 43, Khu phố 7 - Phường Hiệp Bình Chánh - Quận Thủ Đức - TP Hồ Chí Minh.</t>
  </si>
  <si>
    <t>Thủ đức</t>
  </si>
  <si>
    <t>CÔNG TY TNHH MAY XUẤT KHẨU MINH HOÀNG</t>
  </si>
  <si>
    <t xml:space="preserve"> 0302809615</t>
  </si>
  <si>
    <t>1/20B Đường 18, ấp Tiền Lân - Xã Bà Điểm - Huyện Hóc Môn - TP Hồ Chí Minh.</t>
  </si>
  <si>
    <t>CÔNG TY TNHH XUẤT NHẬP KHẨU IRIS</t>
  </si>
  <si>
    <t>B6/21D, Đường Liên ấp 234, ấp 2A - Xã Vĩnh Lộc A - Huyện Bình Chánh - TP Hồ Chí Minh.</t>
  </si>
  <si>
    <t>Bình Chánh</t>
  </si>
  <si>
    <t>0316322356</t>
  </si>
  <si>
    <t>0108993018</t>
  </si>
  <si>
    <t xml:space="preserve"> CÔNG TY TNHH THƯƠNG MẠI PHAN DUNG</t>
  </si>
  <si>
    <t>Số 17, ngách 13/28 đường Khuất Duy Tiến - Phường Thanh Xuân Bắc - Quận Thanh Xuân - Hà Nội.</t>
  </si>
  <si>
    <t>CÔNG TY TNHH THIẾT KẾ VÀ SẢN XUẤT THƯƠNG MẠI TAMY</t>
  </si>
  <si>
    <t>0108453679</t>
  </si>
  <si>
    <t>Số 2H Hoàng Hoa Thám - Phường Thuỵ Khuê - Quận Tây Hồ - Hà Nội.</t>
  </si>
  <si>
    <t xml:space="preserve"> CÔNG TY CỔ PHẦN SẢN XUẤT THƯƠNG MẠI VÀ DỊCH VỤ HOÀNG MINH VIỆT NAM</t>
  </si>
  <si>
    <t xml:space="preserve"> 0109361357</t>
  </si>
  <si>
    <t>Số 82A Trần Phú - Phường Mộ Lao - Quận Hà Đông - Hà Nội.</t>
  </si>
  <si>
    <t>Chị Hằng 094350039</t>
  </si>
  <si>
    <t>0108698189-001</t>
  </si>
  <si>
    <t>CÔNG TY TNHH THỰC PHẨM DINH DƯỠNG NUTRIDIAMOND - CHI NHÁNH THANH HÓA</t>
  </si>
  <si>
    <t>Lô E3, E4, E5, E52, E53, E54 - MBQH 2591, - Xã Hoằng Quang - Thành phố Thanh Hoá - Thanh Hoá.</t>
  </si>
  <si>
    <t>CÔNG TY TNHH ĐẦU TƯ VÀ THƯƠNG MẠI MITACO</t>
  </si>
  <si>
    <t xml:space="preserve"> 0108926759</t>
  </si>
  <si>
    <t>Liền Kề 13 Lô D4, khu Đồng Dưa, đường Ngô Thì Nhậm - Phường Hà Cầu - Quận Hà Đông - Hà Nội.</t>
  </si>
  <si>
    <t xml:space="preserve"> CÔNG TY TNHH THƯƠNG MẠI KỸ THUẬT SUNNAH</t>
  </si>
  <si>
    <t>Số nhà 86, ngõ 68, đường Nguyễn Văn Linh, - Phường Thạch Bàn - Quận Long Biên - Hà Nội.</t>
  </si>
  <si>
    <t xml:space="preserve">CTV </t>
  </si>
  <si>
    <t>0109426420</t>
  </si>
  <si>
    <t>COMBANK)</t>
  </si>
  <si>
    <t xml:space="preserve"> 0201981948</t>
  </si>
  <si>
    <t>Km92, Quốc lộ 5B, khu An Trì - Phường Hùng Vương - Quận Hồng Bàng - Hải Phòng.</t>
  </si>
  <si>
    <t>Tường Minh</t>
  </si>
  <si>
    <t xml:space="preserve"> CÔNG TY TNHH XÂY DỰNG ĐẠI HUY</t>
  </si>
  <si>
    <t>0109055159</t>
  </si>
  <si>
    <t>Số nhà 199 Quan Hoa - Phường Quan Hoa - Quận Cầu Giấy - Hà Nội.</t>
  </si>
  <si>
    <t>CÔNG TY CỔ PHẦN XÂY DỰNG VÀ XỬ LÝ NỀN MÓNG CÔNG TRÌNH</t>
  </si>
  <si>
    <t>Số 7 ngõ 165 phố Thái Hà - Phường Láng Hạ - Quận Đống đa - Hà Nội.</t>
  </si>
  <si>
    <t>0101381129</t>
  </si>
  <si>
    <t>Đã tt đủ cho Nacencomm</t>
  </si>
  <si>
    <t>CÔNG TY CỔ PHẦN KUMNONG VIỆT NAM</t>
  </si>
  <si>
    <t>5801205495</t>
  </si>
  <si>
    <t>Cụm công nghiệp Gia Hiệp, thôn 7 - Xã Gia Hiệp - Huyện Di Linh - Lâm Đồng.</t>
  </si>
  <si>
    <t>ĐT 0895217892</t>
  </si>
  <si>
    <t xml:space="preserve"> CÔNG TY TNHH TM QUANG TÍN PHÁT</t>
  </si>
  <si>
    <t>0109417419</t>
  </si>
  <si>
    <t>Số 2 Dốc Bác Cổ - Phường Chương Dương - Quận Hoàn Kiếm - Hà Nội.</t>
  </si>
  <si>
    <t xml:space="preserve"> CÔNG TY TNHH ĐẦU TƯ XÂY DỰNG HẠNH NGUYỄN</t>
  </si>
  <si>
    <t>0109429855</t>
  </si>
  <si>
    <t>Số 32 ngõ 285 phố Đội Cấn, - Phường Liễu Giai - Quận Ba Đình - Hà Nội.</t>
  </si>
  <si>
    <t xml:space="preserve"> CÔNG TY TNHH ĐẦU TƯ XÂY DỰNG PHÁT TRIỂN THÀNH ĐÔ</t>
  </si>
  <si>
    <t>Số 43 ngõ 216 phố Định Công, - Phường Định Công - Quận Hoàng Mai - Hà Nội.</t>
  </si>
  <si>
    <t>0109430561</t>
  </si>
  <si>
    <t xml:space="preserve"> CÔNG TY TNHH SẢN XUẤT VÀ THƯƠNG MẠI KỸ THUẬT VŨ LÊ</t>
  </si>
  <si>
    <t>0109420235</t>
  </si>
  <si>
    <t>Dịch vụ 18, Liền kề 807 Mậu Lương, - Phường Kiến Hưng - Quận Hà Đông - Hà Nội.</t>
  </si>
  <si>
    <t>CÔNG TY TNHH ĐẦU TƯ PHÁT TRIỂN HOÀNG HẢI VIỆT NAM</t>
  </si>
  <si>
    <t>Số 5 Tập thể 4 khu đô thị Văn Phú - Phường Phú La - Quận Hà Đông - Hà Nội.</t>
  </si>
  <si>
    <t xml:space="preserve"> 0109422673</t>
  </si>
  <si>
    <t>Số 71 Đặng Tiến Đông - Phường Trung Liệt - Quận Đống đa - Hà Nội.</t>
  </si>
  <si>
    <t>CÔNG TY TNHH HALOS VIỆT NAM</t>
  </si>
  <si>
    <t>0109438835</t>
  </si>
  <si>
    <t>Chị Ly thuế Đống Đa</t>
  </si>
  <si>
    <t>Anh Hoàng DV kế toán +Luật Sư: 0948699886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</si>
</sst>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_(* #,##0_);_(* \(#,##0\);_(* &quot;-&quot;?_);_(@_)"/>
    <numFmt numFmtId="166" formatCode="_(* #,##0.0_);_(* \(#,##0.0\);_(* &quot;-&quot;?_);_(@_)"/>
  </numFmts>
  <fonts count="54" x14ac:knownFonts="1">
    <font>
      <sz val="11"/>
      <color theme="1"/>
      <name val="Calibri"/>
      <family val="2"/>
      <scheme val="minor"/>
    </font>
    <font>
      <sz val="11"/>
      <color theme="1"/>
      <name val="Calibri"/>
      <family val="2"/>
      <scheme val="minor"/>
    </font>
    <font>
      <sz val="14"/>
      <color theme="1"/>
      <name val="Times New Roman"/>
      <family val="1"/>
    </font>
    <font>
      <sz val="8"/>
      <name val="Times New Roman"/>
      <family val="1"/>
    </font>
    <font>
      <u/>
      <sz val="11"/>
      <color theme="10"/>
      <name val="Calibri"/>
      <family val="2"/>
      <scheme val="minor"/>
    </font>
    <font>
      <sz val="11"/>
      <color theme="1"/>
      <name val="Times New Roman"/>
      <family val="1"/>
    </font>
    <font>
      <u/>
      <sz val="11"/>
      <color theme="10"/>
      <name val="Times New Roman"/>
      <family val="1"/>
    </font>
    <font>
      <sz val="11"/>
      <color rgb="FF323232"/>
      <name val="Times New Roman"/>
      <family val="1"/>
    </font>
    <font>
      <sz val="11"/>
      <name val="Times New Roman"/>
      <family val="1"/>
    </font>
    <font>
      <u/>
      <sz val="10"/>
      <color indexed="12"/>
      <name val="Arial"/>
      <family val="2"/>
    </font>
    <font>
      <b/>
      <sz val="11"/>
      <color theme="1"/>
      <name val="Times New Roman"/>
      <family val="1"/>
    </font>
    <font>
      <u/>
      <sz val="11"/>
      <color indexed="12"/>
      <name val="Times New Roman"/>
      <family val="1"/>
    </font>
    <font>
      <sz val="10"/>
      <color theme="1"/>
      <name val="Times New Roman"/>
      <family val="1"/>
    </font>
    <font>
      <sz val="12"/>
      <name val="Times New Roman"/>
      <family val="1"/>
    </font>
    <font>
      <u/>
      <sz val="12"/>
      <color indexed="12"/>
      <name val="Times New Roman"/>
      <family val="1"/>
    </font>
    <font>
      <sz val="12"/>
      <color rgb="FF202124"/>
      <name val="Times New Roman"/>
      <family val="1"/>
    </font>
    <font>
      <sz val="12"/>
      <color rgb="FF000000"/>
      <name val="Times New Roman"/>
      <family val="1"/>
    </font>
    <font>
      <sz val="12"/>
      <color theme="1"/>
      <name val="Times New Roman"/>
      <family val="1"/>
    </font>
    <font>
      <sz val="8"/>
      <color theme="1"/>
      <name val="Tahoma"/>
      <family val="2"/>
    </font>
    <font>
      <sz val="12"/>
      <color rgb="FF777777"/>
      <name val="Times New Roman"/>
      <family val="1"/>
    </font>
    <font>
      <b/>
      <sz val="12"/>
      <name val="Times New Roman"/>
      <family val="1"/>
    </font>
    <font>
      <sz val="10"/>
      <name val="Arial"/>
      <family val="2"/>
      <charset val="163"/>
    </font>
    <font>
      <sz val="12"/>
      <color rgb="FF323232"/>
      <name val="Times New Roman"/>
      <family val="1"/>
    </font>
    <font>
      <sz val="12"/>
      <color rgb="FF500050"/>
      <name val="Times New Roman"/>
      <family val="1"/>
    </font>
    <font>
      <b/>
      <sz val="12"/>
      <color theme="1"/>
      <name val="Times New Roman"/>
      <family val="1"/>
    </font>
    <font>
      <b/>
      <sz val="12"/>
      <color indexed="8"/>
      <name val="Times New Roman"/>
      <family val="1"/>
    </font>
    <font>
      <u/>
      <sz val="12"/>
      <color theme="10"/>
      <name val="Times New Roman"/>
      <family val="1"/>
    </font>
    <font>
      <sz val="12"/>
      <color rgb="FF2B2C33"/>
      <name val="Times New Roman"/>
      <family val="1"/>
    </font>
    <font>
      <b/>
      <sz val="10"/>
      <name val="Times New Roman"/>
      <family val="1"/>
    </font>
    <font>
      <sz val="12"/>
      <color rgb="FF555555"/>
      <name val="Times New Roman"/>
      <family val="1"/>
    </font>
    <font>
      <sz val="10"/>
      <name val="Arial"/>
      <family val="2"/>
    </font>
    <font>
      <sz val="10"/>
      <name val="Verdana"/>
      <family val="2"/>
    </font>
    <font>
      <sz val="12"/>
      <color rgb="FFFF0000"/>
      <name val="Times New Roman"/>
      <family val="1"/>
    </font>
    <font>
      <sz val="10"/>
      <color theme="1"/>
      <name val="Tahoma"/>
      <family val="2"/>
    </font>
    <font>
      <u/>
      <sz val="11"/>
      <color theme="1"/>
      <name val="Calibri"/>
      <family val="2"/>
      <scheme val="minor"/>
    </font>
    <font>
      <sz val="11"/>
      <name val="Calibri"/>
      <family val="2"/>
      <scheme val="minor"/>
    </font>
    <font>
      <u/>
      <sz val="11"/>
      <name val="Calibri"/>
      <family val="2"/>
      <scheme val="minor"/>
    </font>
    <font>
      <u/>
      <sz val="11"/>
      <name val="Times New Roman"/>
      <family val="1"/>
    </font>
    <font>
      <sz val="11"/>
      <color rgb="FFFF0000"/>
      <name val="Times New Roman"/>
      <family val="1"/>
    </font>
    <font>
      <sz val="10"/>
      <name val="Tahoma"/>
      <family val="2"/>
    </font>
    <font>
      <sz val="10"/>
      <name val="Times New Roman"/>
      <family val="1"/>
    </font>
    <font>
      <sz val="11"/>
      <name val="Tahoma"/>
      <family val="2"/>
    </font>
    <font>
      <u/>
      <sz val="11"/>
      <color rgb="FFFF0000"/>
      <name val="Calibri"/>
      <family val="2"/>
      <scheme val="minor"/>
    </font>
    <font>
      <sz val="11"/>
      <color rgb="FFFF0000"/>
      <name val="Calibri"/>
      <family val="2"/>
      <scheme val="minor"/>
    </font>
    <font>
      <u/>
      <sz val="11"/>
      <color rgb="FFFF0000"/>
      <name val="Times New Roman"/>
      <family val="1"/>
    </font>
    <font>
      <sz val="9"/>
      <name val="Tahoma"/>
      <family val="2"/>
    </font>
    <font>
      <sz val="10"/>
      <color rgb="FFFF0000"/>
      <name val="Times New Roman"/>
      <family val="1"/>
    </font>
    <font>
      <sz val="8"/>
      <color rgb="FFFF0000"/>
      <name val="Times New Roman"/>
      <family val="1"/>
    </font>
    <font>
      <sz val="9"/>
      <color rgb="FFFF0000"/>
      <name val="Arial"/>
      <family val="2"/>
    </font>
    <font>
      <sz val="8"/>
      <color theme="1"/>
      <name val="Times New Roman"/>
      <family val="1"/>
    </font>
    <font>
      <u/>
      <sz val="11"/>
      <color theme="1"/>
      <name val="Times New Roman"/>
      <family val="1"/>
    </font>
    <font>
      <sz val="9"/>
      <name val="Arial"/>
      <family val="2"/>
    </font>
    <font>
      <sz val="11"/>
      <name val="Arial"/>
      <family val="2"/>
    </font>
    <font>
      <sz val="11"/>
      <color rgb="FF9C0006"/>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FFC7CE"/>
      </patternFill>
    </fill>
  </fills>
  <borders count="11">
    <border>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43" fontId="1" fillId="0" borderId="0" applyFont="0" applyFill="0" applyBorder="0" applyAlignment="0" applyProtection="0"/>
    <xf numFmtId="0" fontId="4" fillId="0" borderId="0" applyNumberFormat="0" applyFill="0" applyBorder="0" applyAlignment="0" applyProtection="0"/>
    <xf numFmtId="0" fontId="9" fillId="0" borderId="0" applyNumberFormat="0" applyFill="0" applyBorder="0" applyAlignment="0" applyProtection="0">
      <alignment vertical="top"/>
      <protection locked="0"/>
    </xf>
    <xf numFmtId="0" fontId="21" fillId="0" borderId="0"/>
    <xf numFmtId="9" fontId="1" fillId="0" borderId="0" applyFont="0" applyFill="0" applyBorder="0" applyAlignment="0" applyProtection="0"/>
    <xf numFmtId="0" fontId="53" fillId="9" borderId="0" applyNumberFormat="0" applyBorder="0" applyAlignment="0" applyProtection="0"/>
  </cellStyleXfs>
  <cellXfs count="825">
    <xf numFmtId="0" fontId="0" fillId="0" borderId="0" xfId="0"/>
    <xf numFmtId="49" fontId="3" fillId="0" borderId="0" xfId="0" applyNumberFormat="1" applyFont="1" applyFill="1" applyBorder="1" applyAlignment="1" applyProtection="1">
      <alignment vertical="center" wrapText="1"/>
    </xf>
    <xf numFmtId="0" fontId="6" fillId="0" borderId="2" xfId="2" applyFont="1" applyBorder="1" applyAlignment="1" applyProtection="1"/>
    <xf numFmtId="0" fontId="5" fillId="0" borderId="2" xfId="0" applyFont="1" applyBorder="1" applyAlignment="1">
      <alignment wrapText="1"/>
    </xf>
    <xf numFmtId="49" fontId="8" fillId="0" borderId="2" xfId="0" applyNumberFormat="1" applyFont="1" applyFill="1" applyBorder="1" applyAlignment="1" applyProtection="1">
      <alignment vertical="center" wrapText="1"/>
    </xf>
    <xf numFmtId="0" fontId="13" fillId="2" borderId="2" xfId="0" applyFont="1" applyFill="1" applyBorder="1" applyAlignment="1">
      <alignment vertical="center"/>
    </xf>
    <xf numFmtId="49" fontId="13" fillId="2" borderId="2" xfId="0" applyNumberFormat="1" applyFont="1" applyFill="1" applyBorder="1" applyAlignment="1">
      <alignment vertical="center" wrapText="1"/>
    </xf>
    <xf numFmtId="0" fontId="13" fillId="2" borderId="0" xfId="0" applyFont="1" applyFill="1"/>
    <xf numFmtId="14" fontId="13" fillId="2" borderId="2" xfId="0" quotePrefix="1" applyNumberFormat="1" applyFont="1" applyFill="1" applyBorder="1"/>
    <xf numFmtId="0" fontId="14" fillId="0" borderId="2" xfId="3" applyFont="1" applyBorder="1" applyAlignment="1" applyProtection="1"/>
    <xf numFmtId="0" fontId="13" fillId="2" borderId="2" xfId="0" applyFont="1" applyFill="1" applyBorder="1"/>
    <xf numFmtId="164" fontId="13" fillId="2" borderId="2" xfId="1" applyNumberFormat="1" applyFont="1" applyFill="1" applyBorder="1"/>
    <xf numFmtId="0" fontId="15" fillId="0" borderId="2" xfId="0" applyFont="1" applyBorder="1"/>
    <xf numFmtId="164" fontId="13" fillId="0" borderId="2" xfId="1" applyNumberFormat="1" applyFont="1" applyBorder="1"/>
    <xf numFmtId="0" fontId="16" fillId="0" borderId="2" xfId="0" applyFont="1" applyBorder="1"/>
    <xf numFmtId="0" fontId="17" fillId="0" borderId="2" xfId="0" quotePrefix="1" applyFont="1" applyBorder="1"/>
    <xf numFmtId="0" fontId="13" fillId="0" borderId="2" xfId="0" quotePrefix="1" applyFont="1" applyFill="1" applyBorder="1"/>
    <xf numFmtId="0" fontId="15" fillId="4" borderId="2" xfId="0" applyFont="1" applyFill="1" applyBorder="1" applyAlignment="1">
      <alignment vertical="top" wrapText="1"/>
    </xf>
    <xf numFmtId="0" fontId="17" fillId="0" borderId="2" xfId="0" applyFont="1" applyBorder="1"/>
    <xf numFmtId="0" fontId="13" fillId="0" borderId="2" xfId="0" applyFont="1" applyBorder="1"/>
    <xf numFmtId="3" fontId="17" fillId="0" borderId="2" xfId="0" applyNumberFormat="1" applyFont="1" applyBorder="1"/>
    <xf numFmtId="0" fontId="16" fillId="2" borderId="2" xfId="0" applyFont="1" applyFill="1" applyBorder="1"/>
    <xf numFmtId="14" fontId="13" fillId="0" borderId="2" xfId="0" applyNumberFormat="1" applyFont="1" applyBorder="1"/>
    <xf numFmtId="0" fontId="13" fillId="0" borderId="0" xfId="0" applyFont="1"/>
    <xf numFmtId="14" fontId="13" fillId="2" borderId="2" xfId="0" applyNumberFormat="1" applyFont="1" applyFill="1" applyBorder="1" applyAlignment="1">
      <alignment horizontal="left"/>
    </xf>
    <xf numFmtId="0" fontId="13" fillId="0" borderId="2" xfId="0" quotePrefix="1" applyFont="1" applyBorder="1"/>
    <xf numFmtId="3" fontId="13" fillId="0" borderId="2" xfId="0" applyNumberFormat="1" applyFont="1" applyBorder="1"/>
    <xf numFmtId="49" fontId="13" fillId="0" borderId="0" xfId="0" applyNumberFormat="1" applyFont="1"/>
    <xf numFmtId="164" fontId="13" fillId="0" borderId="0" xfId="1" applyNumberFormat="1" applyFont="1"/>
    <xf numFmtId="49" fontId="13" fillId="2" borderId="2" xfId="0" applyNumberFormat="1" applyFont="1" applyFill="1" applyBorder="1"/>
    <xf numFmtId="0" fontId="20" fillId="2" borderId="2" xfId="0" applyFont="1" applyFill="1" applyBorder="1"/>
    <xf numFmtId="49" fontId="13" fillId="2" borderId="0" xfId="0" applyNumberFormat="1" applyFont="1" applyFill="1"/>
    <xf numFmtId="164" fontId="13" fillId="2" borderId="0" xfId="1" applyNumberFormat="1" applyFont="1" applyFill="1"/>
    <xf numFmtId="0" fontId="20" fillId="3" borderId="2" xfId="4" applyFont="1" applyFill="1" applyBorder="1" applyAlignment="1" applyProtection="1">
      <alignment horizontal="center" vertical="center" wrapText="1"/>
    </xf>
    <xf numFmtId="49" fontId="20" fillId="3" borderId="2" xfId="4" applyNumberFormat="1" applyFont="1" applyFill="1" applyBorder="1" applyAlignment="1" applyProtection="1">
      <alignment horizontal="center" vertical="center" wrapText="1"/>
    </xf>
    <xf numFmtId="164" fontId="20" fillId="3" borderId="2" xfId="1" applyNumberFormat="1" applyFont="1" applyFill="1" applyBorder="1" applyAlignment="1" applyProtection="1">
      <alignment horizontal="center" vertical="center" wrapText="1"/>
    </xf>
    <xf numFmtId="0" fontId="17" fillId="0" borderId="0" xfId="0" applyFont="1"/>
    <xf numFmtId="0" fontId="13" fillId="2" borderId="2" xfId="0" quotePrefix="1" applyFont="1" applyFill="1" applyBorder="1"/>
    <xf numFmtId="3" fontId="13" fillId="2" borderId="2" xfId="0" applyNumberFormat="1" applyFont="1" applyFill="1" applyBorder="1"/>
    <xf numFmtId="0" fontId="17" fillId="2" borderId="2" xfId="0" quotePrefix="1" applyFont="1" applyFill="1" applyBorder="1"/>
    <xf numFmtId="0" fontId="5" fillId="0" borderId="0" xfId="0" applyFont="1" applyAlignment="1"/>
    <xf numFmtId="0" fontId="10" fillId="0" borderId="0" xfId="0" applyFont="1" applyAlignment="1">
      <alignment vertical="center"/>
    </xf>
    <xf numFmtId="164" fontId="2" fillId="0" borderId="0" xfId="1" applyNumberFormat="1" applyFont="1" applyAlignment="1"/>
    <xf numFmtId="0" fontId="2" fillId="0" borderId="0" xfId="0" applyFont="1" applyAlignment="1"/>
    <xf numFmtId="0" fontId="10" fillId="0" borderId="0" xfId="0" applyFont="1" applyBorder="1" applyAlignment="1">
      <alignment vertical="center"/>
    </xf>
    <xf numFmtId="0" fontId="5" fillId="0" borderId="2" xfId="0" applyFont="1" applyBorder="1" applyAlignment="1"/>
    <xf numFmtId="14" fontId="5" fillId="0" borderId="2" xfId="0" applyNumberFormat="1" applyFont="1" applyBorder="1" applyAlignment="1"/>
    <xf numFmtId="0" fontId="8" fillId="0" borderId="2" xfId="0" applyFont="1" applyFill="1" applyBorder="1" applyAlignment="1" applyProtection="1">
      <alignment vertical="center" wrapText="1"/>
    </xf>
    <xf numFmtId="0" fontId="12" fillId="0" borderId="2" xfId="0" applyFont="1" applyBorder="1" applyAlignment="1"/>
    <xf numFmtId="164" fontId="5" fillId="0" borderId="2" xfId="1" applyNumberFormat="1" applyFont="1" applyBorder="1" applyAlignment="1"/>
    <xf numFmtId="164" fontId="5" fillId="0" borderId="0" xfId="1" applyNumberFormat="1" applyFont="1" applyAlignment="1"/>
    <xf numFmtId="0" fontId="12" fillId="0" borderId="0" xfId="0" applyFont="1" applyAlignment="1"/>
    <xf numFmtId="14" fontId="5" fillId="0" borderId="0" xfId="0" applyNumberFormat="1" applyFont="1" applyAlignment="1"/>
    <xf numFmtId="0" fontId="3" fillId="0" borderId="0" xfId="0" applyFont="1" applyFill="1" applyBorder="1" applyAlignment="1" applyProtection="1">
      <alignment vertical="center" wrapText="1"/>
    </xf>
    <xf numFmtId="0" fontId="5" fillId="0" borderId="2" xfId="0" quotePrefix="1" applyFont="1" applyBorder="1"/>
    <xf numFmtId="49" fontId="3" fillId="0" borderId="2" xfId="0" applyNumberFormat="1" applyFont="1" applyFill="1" applyBorder="1" applyAlignment="1" applyProtection="1">
      <alignment vertical="center" wrapText="1"/>
    </xf>
    <xf numFmtId="0" fontId="3" fillId="0" borderId="2" xfId="0" applyFont="1" applyFill="1" applyBorder="1" applyAlignment="1" applyProtection="1">
      <alignment vertical="center" wrapText="1"/>
    </xf>
    <xf numFmtId="0" fontId="24" fillId="3" borderId="3" xfId="0" applyFont="1" applyFill="1" applyBorder="1" applyAlignment="1" applyProtection="1">
      <alignment horizontal="center" vertical="center" wrapText="1"/>
    </xf>
    <xf numFmtId="14" fontId="24" fillId="3" borderId="3" xfId="0" applyNumberFormat="1" applyFont="1" applyFill="1" applyBorder="1" applyAlignment="1" applyProtection="1">
      <alignment horizontal="center" vertical="center" wrapText="1"/>
    </xf>
    <xf numFmtId="49" fontId="20" fillId="3" borderId="5" xfId="0" applyNumberFormat="1" applyFont="1" applyFill="1" applyBorder="1" applyAlignment="1" applyProtection="1">
      <alignment horizontal="center" vertical="center" wrapText="1"/>
    </xf>
    <xf numFmtId="0" fontId="20" fillId="3" borderId="5" xfId="0" applyFont="1" applyFill="1" applyBorder="1" applyAlignment="1" applyProtection="1">
      <alignment horizontal="center" vertical="center" wrapText="1"/>
    </xf>
    <xf numFmtId="0" fontId="25" fillId="3" borderId="5" xfId="0" applyFont="1" applyFill="1" applyBorder="1" applyAlignment="1" applyProtection="1">
      <alignment horizontal="center" vertical="center" wrapText="1"/>
    </xf>
    <xf numFmtId="164" fontId="24" fillId="3" borderId="3" xfId="1" applyNumberFormat="1" applyFont="1" applyFill="1" applyBorder="1" applyAlignment="1" applyProtection="1">
      <alignment horizontal="center" vertical="center" wrapText="1"/>
    </xf>
    <xf numFmtId="0" fontId="24" fillId="3" borderId="4" xfId="0" applyFont="1" applyFill="1" applyBorder="1" applyAlignment="1" applyProtection="1">
      <alignment horizontal="center" vertical="center" wrapText="1"/>
    </xf>
    <xf numFmtId="164" fontId="24" fillId="3" borderId="4" xfId="1" applyNumberFormat="1" applyFont="1" applyFill="1" applyBorder="1" applyAlignment="1">
      <alignment horizontal="center" vertical="center"/>
    </xf>
    <xf numFmtId="0" fontId="24" fillId="3" borderId="4" xfId="0" applyFont="1" applyFill="1" applyBorder="1" applyAlignment="1">
      <alignment horizontal="center" vertical="center"/>
    </xf>
    <xf numFmtId="0" fontId="17" fillId="2" borderId="0" xfId="0" applyFont="1" applyFill="1" applyAlignment="1">
      <alignment horizontal="center" vertical="center" wrapText="1"/>
    </xf>
    <xf numFmtId="0" fontId="17" fillId="0" borderId="0" xfId="0" applyFont="1" applyAlignment="1">
      <alignment horizontal="center"/>
    </xf>
    <xf numFmtId="0" fontId="24" fillId="0" borderId="0" xfId="0" applyFont="1" applyBorder="1" applyAlignment="1">
      <alignment horizontal="center" vertical="center"/>
    </xf>
    <xf numFmtId="0" fontId="17" fillId="0" borderId="2" xfId="0" applyFont="1" applyBorder="1" applyAlignment="1">
      <alignment horizontal="center"/>
    </xf>
    <xf numFmtId="14" fontId="17" fillId="0" borderId="2" xfId="0" applyNumberFormat="1" applyFont="1" applyBorder="1"/>
    <xf numFmtId="0" fontId="24" fillId="0" borderId="2" xfId="0" applyFont="1" applyBorder="1" applyAlignment="1">
      <alignment horizontal="center" vertical="center"/>
    </xf>
    <xf numFmtId="0" fontId="17" fillId="0" borderId="2" xfId="0" applyFont="1" applyBorder="1" applyAlignment="1">
      <alignment horizontal="center" vertical="center"/>
    </xf>
    <xf numFmtId="0" fontId="17" fillId="0" borderId="2" xfId="0" applyFont="1" applyBorder="1" applyAlignment="1">
      <alignment vertical="center"/>
    </xf>
    <xf numFmtId="0" fontId="17" fillId="2" borderId="2" xfId="0" applyFont="1" applyFill="1" applyBorder="1" applyAlignment="1">
      <alignment horizontal="center"/>
    </xf>
    <xf numFmtId="14" fontId="17" fillId="2" borderId="2" xfId="0" applyNumberFormat="1" applyFont="1" applyFill="1" applyBorder="1"/>
    <xf numFmtId="0" fontId="17" fillId="2" borderId="2" xfId="0" applyFont="1" applyFill="1" applyBorder="1" applyAlignment="1">
      <alignment vertical="center"/>
    </xf>
    <xf numFmtId="0" fontId="24" fillId="2" borderId="2" xfId="0" applyFont="1" applyFill="1" applyBorder="1" applyAlignment="1" applyProtection="1">
      <alignment horizontal="center" vertical="center" wrapText="1"/>
    </xf>
    <xf numFmtId="0" fontId="17" fillId="2" borderId="2" xfId="0" applyFont="1" applyFill="1" applyBorder="1"/>
    <xf numFmtId="164" fontId="24" fillId="2" borderId="2" xfId="1" applyNumberFormat="1" applyFont="1" applyFill="1" applyBorder="1" applyAlignment="1" applyProtection="1">
      <alignment horizontal="center" vertical="center" wrapText="1"/>
    </xf>
    <xf numFmtId="164" fontId="17" fillId="2" borderId="2" xfId="1" applyNumberFormat="1" applyFont="1" applyFill="1" applyBorder="1"/>
    <xf numFmtId="164" fontId="17" fillId="2" borderId="2" xfId="0" applyNumberFormat="1" applyFont="1" applyFill="1" applyBorder="1"/>
    <xf numFmtId="0" fontId="17" fillId="2" borderId="0" xfId="0" applyFont="1" applyFill="1"/>
    <xf numFmtId="14" fontId="17" fillId="0" borderId="0" xfId="0" applyNumberFormat="1" applyFont="1"/>
    <xf numFmtId="164" fontId="17" fillId="0" borderId="0" xfId="1" applyNumberFormat="1" applyFont="1"/>
    <xf numFmtId="14" fontId="24" fillId="2" borderId="2" xfId="0" applyNumberFormat="1" applyFont="1" applyFill="1" applyBorder="1" applyAlignment="1" applyProtection="1">
      <alignment horizontal="center" vertical="center" wrapText="1"/>
    </xf>
    <xf numFmtId="0" fontId="24" fillId="2" borderId="2" xfId="0" applyFont="1" applyFill="1" applyBorder="1" applyAlignment="1">
      <alignment horizontal="center" vertical="center"/>
    </xf>
    <xf numFmtId="9" fontId="17" fillId="0" borderId="2" xfId="0" applyNumberFormat="1" applyFont="1" applyBorder="1"/>
    <xf numFmtId="0" fontId="27" fillId="0" borderId="2" xfId="0" applyFont="1" applyBorder="1" applyAlignment="1">
      <alignment wrapText="1"/>
    </xf>
    <xf numFmtId="0" fontId="24" fillId="3" borderId="2" xfId="0" applyFont="1" applyFill="1" applyBorder="1" applyAlignment="1" applyProtection="1">
      <alignment horizontal="center" vertical="center" wrapText="1"/>
    </xf>
    <xf numFmtId="14" fontId="24" fillId="3" borderId="2" xfId="0" applyNumberFormat="1" applyFont="1" applyFill="1" applyBorder="1" applyAlignment="1" applyProtection="1">
      <alignment horizontal="center" vertical="center" wrapText="1"/>
    </xf>
    <xf numFmtId="49" fontId="20" fillId="3" borderId="2" xfId="0" applyNumberFormat="1" applyFont="1" applyFill="1" applyBorder="1" applyAlignment="1" applyProtection="1">
      <alignment horizontal="center" vertical="center" wrapText="1"/>
    </xf>
    <xf numFmtId="0" fontId="20" fillId="3" borderId="2" xfId="0" applyFont="1" applyFill="1" applyBorder="1" applyAlignment="1" applyProtection="1">
      <alignment horizontal="center" vertical="center" wrapText="1"/>
    </xf>
    <xf numFmtId="0" fontId="25" fillId="3" borderId="2" xfId="0" applyFont="1" applyFill="1" applyBorder="1" applyAlignment="1" applyProtection="1">
      <alignment horizontal="center" vertical="center" wrapText="1"/>
    </xf>
    <xf numFmtId="164" fontId="24" fillId="3" borderId="2" xfId="1" applyNumberFormat="1" applyFont="1" applyFill="1" applyBorder="1" applyAlignment="1" applyProtection="1">
      <alignment horizontal="center" vertical="center" wrapText="1"/>
    </xf>
    <xf numFmtId="164" fontId="24" fillId="3" borderId="2" xfId="1" applyNumberFormat="1" applyFont="1" applyFill="1" applyBorder="1" applyAlignment="1">
      <alignment horizontal="center" vertical="center"/>
    </xf>
    <xf numFmtId="0" fontId="24" fillId="3" borderId="2" xfId="0" applyFont="1" applyFill="1" applyBorder="1" applyAlignment="1">
      <alignment horizontal="center" vertical="center"/>
    </xf>
    <xf numFmtId="0" fontId="17" fillId="2" borderId="2" xfId="0" applyFont="1" applyFill="1" applyBorder="1" applyAlignment="1" applyProtection="1">
      <alignment horizontal="center" vertical="center" wrapText="1"/>
    </xf>
    <xf numFmtId="9" fontId="13" fillId="2" borderId="2" xfId="0" applyNumberFormat="1" applyFont="1" applyFill="1" applyBorder="1"/>
    <xf numFmtId="164" fontId="13" fillId="2" borderId="2" xfId="0" applyNumberFormat="1" applyFont="1" applyFill="1" applyBorder="1"/>
    <xf numFmtId="0" fontId="18" fillId="0" borderId="2" xfId="0" applyFont="1" applyBorder="1"/>
    <xf numFmtId="49" fontId="13" fillId="0" borderId="2" xfId="0" applyNumberFormat="1" applyFont="1" applyBorder="1"/>
    <xf numFmtId="0" fontId="17" fillId="0" borderId="2" xfId="0" applyFont="1" applyBorder="1" applyAlignment="1">
      <alignment horizontal="justify" vertical="center"/>
    </xf>
    <xf numFmtId="0" fontId="17" fillId="2" borderId="2" xfId="0" applyFont="1" applyFill="1" applyBorder="1" applyAlignment="1">
      <alignment horizontal="center" vertical="center"/>
    </xf>
    <xf numFmtId="0" fontId="17" fillId="0" borderId="2" xfId="0" applyFont="1" applyBorder="1" applyAlignment="1">
      <alignment horizontal="justify" vertical="center" wrapText="1"/>
    </xf>
    <xf numFmtId="0" fontId="20" fillId="3" borderId="4" xfId="4" applyFont="1" applyFill="1" applyBorder="1" applyAlignment="1" applyProtection="1">
      <alignment horizontal="center" vertical="center" wrapText="1"/>
    </xf>
    <xf numFmtId="49" fontId="20" fillId="3" borderId="4" xfId="4" applyNumberFormat="1" applyFont="1" applyFill="1" applyBorder="1" applyAlignment="1" applyProtection="1">
      <alignment horizontal="center" vertical="center" wrapText="1"/>
    </xf>
    <xf numFmtId="0" fontId="20" fillId="3" borderId="4" xfId="0" applyFont="1" applyFill="1" applyBorder="1" applyAlignment="1">
      <alignment horizontal="center" vertical="center"/>
    </xf>
    <xf numFmtId="0" fontId="20" fillId="3" borderId="2" xfId="0" applyFont="1" applyFill="1" applyBorder="1" applyAlignment="1">
      <alignment horizontal="center" vertical="center"/>
    </xf>
    <xf numFmtId="0" fontId="20" fillId="2" borderId="0" xfId="0" applyFont="1" applyFill="1" applyAlignment="1">
      <alignment horizontal="center" vertical="center"/>
    </xf>
    <xf numFmtId="164" fontId="20" fillId="3" borderId="2" xfId="1" applyNumberFormat="1" applyFont="1" applyFill="1" applyBorder="1" applyAlignment="1">
      <alignment horizontal="center" vertical="center"/>
    </xf>
    <xf numFmtId="0" fontId="24" fillId="3" borderId="2" xfId="0" applyFont="1" applyFill="1" applyBorder="1" applyAlignment="1">
      <alignment horizontal="center" vertical="center" wrapText="1"/>
    </xf>
    <xf numFmtId="0" fontId="5" fillId="0" borderId="0" xfId="0" applyFont="1" applyAlignment="1">
      <alignment vertical="center" wrapText="1"/>
    </xf>
    <xf numFmtId="0" fontId="8" fillId="0" borderId="2" xfId="0" applyFont="1" applyFill="1" applyBorder="1" applyAlignment="1" applyProtection="1">
      <alignment horizontal="center" vertical="center" wrapText="1"/>
    </xf>
    <xf numFmtId="14" fontId="8" fillId="2" borderId="2" xfId="0" quotePrefix="1" applyNumberFormat="1" applyFont="1" applyFill="1" applyBorder="1" applyAlignment="1" applyProtection="1">
      <alignment horizontal="right" vertical="center"/>
    </xf>
    <xf numFmtId="0" fontId="7" fillId="0" borderId="2" xfId="0" applyFont="1" applyBorder="1"/>
    <xf numFmtId="0" fontId="7" fillId="0" borderId="2" xfId="0" quotePrefix="1" applyFont="1" applyBorder="1"/>
    <xf numFmtId="0" fontId="5" fillId="0" borderId="2" xfId="0" applyFont="1" applyBorder="1" applyAlignment="1">
      <alignment vertical="center" wrapText="1"/>
    </xf>
    <xf numFmtId="164" fontId="5" fillId="0" borderId="2" xfId="1" applyNumberFormat="1" applyFont="1" applyBorder="1" applyAlignment="1">
      <alignment vertical="center" wrapText="1"/>
    </xf>
    <xf numFmtId="164" fontId="5" fillId="0" borderId="2" xfId="0" applyNumberFormat="1" applyFont="1" applyBorder="1" applyAlignment="1">
      <alignment vertical="center" wrapText="1"/>
    </xf>
    <xf numFmtId="164" fontId="5" fillId="0" borderId="2" xfId="1" applyNumberFormat="1" applyFont="1" applyBorder="1" applyAlignment="1">
      <alignment vertical="center"/>
    </xf>
    <xf numFmtId="164" fontId="5" fillId="0" borderId="2" xfId="0" applyNumberFormat="1" applyFont="1" applyBorder="1" applyAlignment="1">
      <alignment vertical="center"/>
    </xf>
    <xf numFmtId="14" fontId="13" fillId="2" borderId="2" xfId="0" applyNumberFormat="1" applyFont="1" applyFill="1" applyBorder="1"/>
    <xf numFmtId="0" fontId="17" fillId="0" borderId="2" xfId="0" applyFont="1" applyBorder="1" applyAlignment="1"/>
    <xf numFmtId="14" fontId="17" fillId="0" borderId="2" xfId="0" applyNumberFormat="1" applyFont="1" applyBorder="1" applyAlignment="1"/>
    <xf numFmtId="0" fontId="16" fillId="0" borderId="2" xfId="0" applyFont="1" applyBorder="1" applyAlignment="1"/>
    <xf numFmtId="49" fontId="13" fillId="0" borderId="2" xfId="0" applyNumberFormat="1" applyFont="1" applyFill="1" applyBorder="1" applyAlignment="1" applyProtection="1">
      <alignment vertical="center" wrapText="1"/>
    </xf>
    <xf numFmtId="0" fontId="29" fillId="0" borderId="2" xfId="0" applyFont="1" applyBorder="1" applyAlignment="1"/>
    <xf numFmtId="164" fontId="17" fillId="0" borderId="2" xfId="1" applyNumberFormat="1" applyFont="1" applyBorder="1" applyAlignment="1"/>
    <xf numFmtId="9" fontId="17" fillId="0" borderId="2" xfId="0" applyNumberFormat="1" applyFont="1" applyBorder="1" applyAlignment="1"/>
    <xf numFmtId="165" fontId="17" fillId="0" borderId="2" xfId="0" applyNumberFormat="1" applyFont="1" applyBorder="1" applyAlignment="1"/>
    <xf numFmtId="0" fontId="17" fillId="0" borderId="0" xfId="0" applyFont="1" applyAlignment="1"/>
    <xf numFmtId="164" fontId="17" fillId="0" borderId="2" xfId="0" applyNumberFormat="1" applyFont="1" applyBorder="1" applyAlignment="1"/>
    <xf numFmtId="49" fontId="13" fillId="2" borderId="2" xfId="0" quotePrefix="1" applyNumberFormat="1" applyFont="1" applyFill="1" applyBorder="1" applyAlignment="1">
      <alignment vertical="center" wrapText="1"/>
    </xf>
    <xf numFmtId="0" fontId="17" fillId="0" borderId="2" xfId="0" applyFont="1" applyBorder="1" applyAlignment="1">
      <alignment wrapText="1"/>
    </xf>
    <xf numFmtId="0" fontId="24" fillId="0" borderId="0" xfId="0" applyFont="1" applyBorder="1" applyAlignment="1">
      <alignment horizontal="center" vertical="center" wrapText="1"/>
    </xf>
    <xf numFmtId="0" fontId="17" fillId="0" borderId="2" xfId="0" applyFont="1" applyBorder="1" applyAlignment="1">
      <alignment vertical="center" wrapText="1"/>
    </xf>
    <xf numFmtId="0" fontId="17" fillId="2" borderId="2" xfId="0" applyFont="1" applyFill="1" applyBorder="1" applyAlignment="1">
      <alignment wrapText="1"/>
    </xf>
    <xf numFmtId="0" fontId="17" fillId="0" borderId="0" xfId="0" applyFont="1" applyAlignment="1">
      <alignment wrapText="1"/>
    </xf>
    <xf numFmtId="164" fontId="24" fillId="3" borderId="4" xfId="1" applyNumberFormat="1" applyFont="1" applyFill="1" applyBorder="1" applyAlignment="1">
      <alignment horizontal="center" vertical="center" wrapText="1"/>
    </xf>
    <xf numFmtId="0" fontId="24" fillId="3" borderId="4" xfId="0" applyFont="1" applyFill="1" applyBorder="1" applyAlignment="1">
      <alignment horizontal="center" vertical="center" wrapText="1"/>
    </xf>
    <xf numFmtId="0" fontId="24" fillId="0" borderId="2" xfId="0" applyFont="1" applyBorder="1" applyAlignment="1">
      <alignment horizontal="center" vertical="center" wrapText="1"/>
    </xf>
    <xf numFmtId="0" fontId="23" fillId="0" borderId="2" xfId="0" applyFont="1" applyBorder="1" applyAlignment="1">
      <alignment wrapText="1"/>
    </xf>
    <xf numFmtId="164" fontId="17" fillId="0" borderId="2" xfId="1" applyNumberFormat="1" applyFont="1" applyBorder="1" applyAlignment="1">
      <alignment wrapText="1"/>
    </xf>
    <xf numFmtId="9" fontId="17" fillId="0" borderId="2" xfId="5" applyFont="1" applyBorder="1" applyAlignment="1">
      <alignment wrapText="1"/>
    </xf>
    <xf numFmtId="164" fontId="17" fillId="0" borderId="2" xfId="0" applyNumberFormat="1" applyFont="1" applyBorder="1" applyAlignment="1">
      <alignment wrapText="1"/>
    </xf>
    <xf numFmtId="164" fontId="17" fillId="2" borderId="2" xfId="0" applyNumberFormat="1" applyFont="1" applyFill="1" applyBorder="1" applyAlignment="1">
      <alignment wrapText="1"/>
    </xf>
    <xf numFmtId="164" fontId="17" fillId="2" borderId="2" xfId="1" applyNumberFormat="1" applyFont="1" applyFill="1" applyBorder="1" applyAlignment="1">
      <alignment wrapText="1"/>
    </xf>
    <xf numFmtId="0" fontId="13" fillId="0" borderId="2" xfId="0" applyFont="1" applyBorder="1" applyAlignment="1">
      <alignment wrapText="1"/>
    </xf>
    <xf numFmtId="164" fontId="17" fillId="0" borderId="0" xfId="1" applyNumberFormat="1" applyFont="1" applyAlignment="1">
      <alignment wrapText="1"/>
    </xf>
    <xf numFmtId="0" fontId="17" fillId="2" borderId="2" xfId="0" applyFont="1" applyFill="1" applyBorder="1" applyAlignment="1">
      <alignment vertical="center" wrapText="1"/>
    </xf>
    <xf numFmtId="0" fontId="17" fillId="0" borderId="0" xfId="0" applyFont="1" applyAlignment="1">
      <alignment vertical="center" wrapText="1"/>
    </xf>
    <xf numFmtId="0" fontId="4" fillId="0" borderId="2" xfId="2" applyBorder="1"/>
    <xf numFmtId="49" fontId="13" fillId="0" borderId="2" xfId="0" quotePrefix="1" applyNumberFormat="1" applyFont="1" applyBorder="1"/>
    <xf numFmtId="0" fontId="13" fillId="2" borderId="0" xfId="0" applyFont="1" applyFill="1" applyAlignment="1">
      <alignment wrapText="1"/>
    </xf>
    <xf numFmtId="0" fontId="22" fillId="0" borderId="2" xfId="0" applyFont="1" applyBorder="1" applyAlignment="1">
      <alignment wrapText="1"/>
    </xf>
    <xf numFmtId="0" fontId="16" fillId="0" borderId="2" xfId="0" applyFont="1" applyBorder="1" applyAlignment="1">
      <alignment wrapText="1"/>
    </xf>
    <xf numFmtId="0" fontId="13" fillId="2" borderId="2" xfId="0" applyFont="1" applyFill="1" applyBorder="1" applyAlignment="1">
      <alignment wrapText="1"/>
    </xf>
    <xf numFmtId="164" fontId="4" fillId="0" borderId="2" xfId="2" applyNumberFormat="1" applyBorder="1" applyAlignment="1">
      <alignment wrapText="1"/>
    </xf>
    <xf numFmtId="3" fontId="17" fillId="0" borderId="2" xfId="0" applyNumberFormat="1" applyFont="1" applyBorder="1" applyAlignment="1">
      <alignment wrapText="1"/>
    </xf>
    <xf numFmtId="0" fontId="12" fillId="0" borderId="0" xfId="0" applyFont="1" applyAlignment="1">
      <alignment vertical="center" wrapText="1"/>
    </xf>
    <xf numFmtId="0" fontId="14" fillId="0" borderId="2" xfId="3" applyFont="1" applyBorder="1" applyAlignment="1" applyProtection="1">
      <alignment wrapText="1"/>
    </xf>
    <xf numFmtId="0" fontId="19" fillId="0" borderId="2" xfId="0" applyFont="1" applyBorder="1" applyAlignment="1">
      <alignment wrapText="1"/>
    </xf>
    <xf numFmtId="0" fontId="13" fillId="0" borderId="0" xfId="0" applyFont="1" applyAlignment="1">
      <alignment wrapText="1"/>
    </xf>
    <xf numFmtId="164" fontId="13" fillId="2" borderId="2" xfId="1" applyNumberFormat="1" applyFont="1" applyFill="1" applyBorder="1" applyAlignment="1">
      <alignment wrapText="1"/>
    </xf>
    <xf numFmtId="9" fontId="13" fillId="0" borderId="2" xfId="0" applyNumberFormat="1" applyFont="1" applyBorder="1"/>
    <xf numFmtId="0" fontId="30" fillId="0" borderId="2" xfId="0" quotePrefix="1" applyFont="1" applyBorder="1" applyAlignment="1"/>
    <xf numFmtId="49" fontId="31" fillId="0" borderId="2" xfId="0" applyNumberFormat="1" applyFont="1" applyBorder="1" applyAlignment="1" applyProtection="1">
      <alignment wrapText="1"/>
    </xf>
    <xf numFmtId="0" fontId="13" fillId="0" borderId="2" xfId="0" applyFont="1" applyBorder="1" applyAlignment="1"/>
    <xf numFmtId="0" fontId="24" fillId="3" borderId="6" xfId="0" applyFont="1" applyFill="1" applyBorder="1" applyAlignment="1">
      <alignment horizontal="center" vertical="center" wrapText="1"/>
    </xf>
    <xf numFmtId="164" fontId="17" fillId="0" borderId="6" xfId="0" applyNumberFormat="1" applyFont="1" applyBorder="1" applyAlignment="1">
      <alignment wrapText="1"/>
    </xf>
    <xf numFmtId="0" fontId="17" fillId="2" borderId="2" xfId="0" applyFont="1" applyFill="1" applyBorder="1" applyAlignment="1">
      <alignment horizontal="center" vertical="center" wrapText="1"/>
    </xf>
    <xf numFmtId="0" fontId="4" fillId="0" borderId="2" xfId="2" applyBorder="1" applyAlignment="1" applyProtection="1"/>
    <xf numFmtId="0" fontId="24" fillId="2" borderId="2" xfId="0" applyFont="1" applyFill="1" applyBorder="1" applyAlignment="1">
      <alignment horizontal="center" vertical="center" wrapText="1"/>
    </xf>
    <xf numFmtId="0" fontId="26" fillId="0" borderId="2" xfId="2" applyFont="1" applyBorder="1" applyAlignment="1">
      <alignment wrapText="1"/>
    </xf>
    <xf numFmtId="49" fontId="13" fillId="2" borderId="2" xfId="0" quotePrefix="1" applyNumberFormat="1" applyFont="1" applyFill="1" applyBorder="1"/>
    <xf numFmtId="0" fontId="4" fillId="2" borderId="2" xfId="2" applyFill="1" applyBorder="1" applyAlignment="1">
      <alignment wrapText="1"/>
    </xf>
    <xf numFmtId="0" fontId="5" fillId="0" borderId="0" xfId="0" applyFont="1" applyAlignment="1">
      <alignment vertical="top"/>
    </xf>
    <xf numFmtId="0" fontId="10" fillId="0" borderId="0" xfId="0" applyFont="1" applyAlignment="1">
      <alignment vertical="top" wrapText="1"/>
    </xf>
    <xf numFmtId="164" fontId="2" fillId="0" borderId="0" xfId="1" applyNumberFormat="1" applyFont="1" applyAlignment="1">
      <alignment vertical="top" wrapText="1"/>
    </xf>
    <xf numFmtId="0" fontId="2" fillId="0" borderId="0" xfId="0" applyFont="1" applyAlignment="1">
      <alignment vertical="top" wrapText="1"/>
    </xf>
    <xf numFmtId="0" fontId="0" fillId="0" borderId="0" xfId="0" applyAlignment="1">
      <alignment vertical="top"/>
    </xf>
    <xf numFmtId="0" fontId="10" fillId="0" borderId="0" xfId="0" applyFont="1" applyBorder="1" applyAlignment="1">
      <alignment vertical="top" wrapText="1"/>
    </xf>
    <xf numFmtId="0" fontId="24" fillId="3" borderId="3" xfId="0" applyFont="1" applyFill="1" applyBorder="1" applyAlignment="1" applyProtection="1">
      <alignment horizontal="center" vertical="top" wrapText="1"/>
    </xf>
    <xf numFmtId="14" fontId="24" fillId="3" borderId="3" xfId="0" applyNumberFormat="1" applyFont="1" applyFill="1" applyBorder="1" applyAlignment="1" applyProtection="1">
      <alignment horizontal="center" vertical="top" wrapText="1"/>
    </xf>
    <xf numFmtId="49" fontId="20" fillId="3" borderId="5" xfId="0" applyNumberFormat="1" applyFont="1" applyFill="1" applyBorder="1" applyAlignment="1" applyProtection="1">
      <alignment horizontal="center" vertical="top" wrapText="1"/>
    </xf>
    <xf numFmtId="0" fontId="20" fillId="3" borderId="5" xfId="0" applyFont="1" applyFill="1" applyBorder="1" applyAlignment="1" applyProtection="1">
      <alignment horizontal="center" vertical="top" wrapText="1"/>
    </xf>
    <xf numFmtId="0" fontId="25" fillId="3" borderId="5" xfId="0" applyFont="1" applyFill="1" applyBorder="1" applyAlignment="1" applyProtection="1">
      <alignment horizontal="center" vertical="top" wrapText="1"/>
    </xf>
    <xf numFmtId="164" fontId="24" fillId="3" borderId="3" xfId="1" applyNumberFormat="1" applyFont="1" applyFill="1" applyBorder="1" applyAlignment="1" applyProtection="1">
      <alignment horizontal="center" vertical="top" wrapText="1"/>
    </xf>
    <xf numFmtId="0" fontId="24" fillId="3" borderId="4" xfId="0" applyFont="1" applyFill="1" applyBorder="1" applyAlignment="1" applyProtection="1">
      <alignment horizontal="center" vertical="top" wrapText="1"/>
    </xf>
    <xf numFmtId="164" fontId="24" fillId="3" borderId="4" xfId="1" applyNumberFormat="1" applyFont="1" applyFill="1" applyBorder="1" applyAlignment="1">
      <alignment horizontal="center" vertical="top" wrapText="1"/>
    </xf>
    <xf numFmtId="0" fontId="24" fillId="3" borderId="4" xfId="0" applyFont="1" applyFill="1" applyBorder="1" applyAlignment="1">
      <alignment horizontal="center" vertical="top" wrapText="1"/>
    </xf>
    <xf numFmtId="0" fontId="24" fillId="3" borderId="2" xfId="0" applyFont="1" applyFill="1" applyBorder="1" applyAlignment="1">
      <alignment horizontal="center" vertical="top" wrapText="1"/>
    </xf>
    <xf numFmtId="0" fontId="17" fillId="0" borderId="2" xfId="0" applyFont="1" applyBorder="1" applyAlignment="1">
      <alignment vertical="top"/>
    </xf>
    <xf numFmtId="14" fontId="17" fillId="0" borderId="2" xfId="0" applyNumberFormat="1" applyFont="1" applyBorder="1" applyAlignment="1">
      <alignment vertical="top" wrapText="1"/>
    </xf>
    <xf numFmtId="0" fontId="17" fillId="0" borderId="2" xfId="0" applyFont="1" applyBorder="1" applyAlignment="1">
      <alignment vertical="top" wrapText="1"/>
    </xf>
    <xf numFmtId="0" fontId="16" fillId="0" borderId="2" xfId="0" applyFont="1" applyBorder="1" applyAlignment="1">
      <alignment vertical="top" wrapText="1"/>
    </xf>
    <xf numFmtId="49" fontId="13" fillId="0" borderId="2" xfId="0" applyNumberFormat="1" applyFont="1" applyFill="1" applyBorder="1" applyAlignment="1" applyProtection="1">
      <alignment vertical="top" wrapText="1"/>
    </xf>
    <xf numFmtId="0" fontId="29" fillId="0" borderId="2" xfId="0" applyFont="1" applyBorder="1" applyAlignment="1">
      <alignment vertical="top" wrapText="1"/>
    </xf>
    <xf numFmtId="164" fontId="17" fillId="0" borderId="2" xfId="1" applyNumberFormat="1" applyFont="1" applyBorder="1" applyAlignment="1">
      <alignment vertical="top" wrapText="1"/>
    </xf>
    <xf numFmtId="14" fontId="5" fillId="0" borderId="2" xfId="0" quotePrefix="1" applyNumberFormat="1" applyFont="1" applyBorder="1" applyAlignment="1">
      <alignment vertical="top" wrapText="1"/>
    </xf>
    <xf numFmtId="0" fontId="5" fillId="0" borderId="2" xfId="0" applyFont="1" applyBorder="1" applyAlignment="1">
      <alignment vertical="top" wrapText="1"/>
    </xf>
    <xf numFmtId="14" fontId="5" fillId="0" borderId="2" xfId="0" applyNumberFormat="1" applyFont="1" applyBorder="1" applyAlignment="1">
      <alignment vertical="top" wrapText="1"/>
    </xf>
    <xf numFmtId="0" fontId="11" fillId="0" borderId="2" xfId="3" applyFont="1" applyBorder="1" applyAlignment="1" applyProtection="1">
      <alignment vertical="top" wrapText="1"/>
    </xf>
    <xf numFmtId="49" fontId="8" fillId="0" borderId="2" xfId="0" applyNumberFormat="1" applyFont="1" applyFill="1" applyBorder="1" applyAlignment="1" applyProtection="1">
      <alignment vertical="top" wrapText="1"/>
    </xf>
    <xf numFmtId="164" fontId="5" fillId="0" borderId="2" xfId="1" applyNumberFormat="1" applyFont="1" applyBorder="1" applyAlignment="1">
      <alignment vertical="top" wrapText="1"/>
    </xf>
    <xf numFmtId="0" fontId="0" fillId="0" borderId="0" xfId="0" applyAlignment="1">
      <alignment vertical="top" wrapText="1"/>
    </xf>
    <xf numFmtId="0" fontId="4" fillId="0" borderId="2" xfId="2" applyFill="1" applyBorder="1" applyAlignment="1" applyProtection="1">
      <alignment vertical="top" wrapText="1"/>
    </xf>
    <xf numFmtId="0" fontId="4" fillId="2" borderId="2" xfId="2" applyFill="1" applyBorder="1"/>
    <xf numFmtId="0" fontId="24" fillId="0" borderId="0" xfId="0" applyFont="1" applyAlignment="1">
      <alignment horizontal="center" vertical="center"/>
    </xf>
    <xf numFmtId="0" fontId="24" fillId="0" borderId="0" xfId="0" applyFont="1" applyBorder="1" applyAlignment="1">
      <alignment horizontal="center" vertical="center" wrapText="1"/>
    </xf>
    <xf numFmtId="0" fontId="20" fillId="2" borderId="0" xfId="0" applyFont="1" applyFill="1" applyAlignment="1">
      <alignment horizontal="left"/>
    </xf>
    <xf numFmtId="164" fontId="13" fillId="5" borderId="0" xfId="1" applyNumberFormat="1" applyFont="1" applyFill="1"/>
    <xf numFmtId="164" fontId="20" fillId="5" borderId="4" xfId="1" applyNumberFormat="1" applyFont="1" applyFill="1" applyBorder="1" applyAlignment="1">
      <alignment horizontal="center" vertical="center"/>
    </xf>
    <xf numFmtId="164" fontId="13" fillId="5" borderId="2" xfId="1" applyNumberFormat="1" applyFont="1" applyFill="1" applyBorder="1"/>
    <xf numFmtId="0" fontId="17" fillId="5" borderId="0" xfId="0" applyFont="1" applyFill="1"/>
    <xf numFmtId="164" fontId="17" fillId="5" borderId="2" xfId="0" applyNumberFormat="1" applyFont="1" applyFill="1" applyBorder="1"/>
    <xf numFmtId="0" fontId="13" fillId="5" borderId="0" xfId="0" applyFont="1" applyFill="1"/>
    <xf numFmtId="0" fontId="20" fillId="5" borderId="2" xfId="0" applyFont="1" applyFill="1" applyBorder="1" applyAlignment="1">
      <alignment horizontal="center" vertical="center"/>
    </xf>
    <xf numFmtId="164" fontId="13" fillId="5" borderId="2" xfId="0" applyNumberFormat="1" applyFont="1" applyFill="1" applyBorder="1"/>
    <xf numFmtId="0" fontId="13" fillId="5" borderId="2" xfId="0" applyFont="1" applyFill="1" applyBorder="1"/>
    <xf numFmtId="0" fontId="22" fillId="2" borderId="2" xfId="0" applyFont="1" applyFill="1" applyBorder="1" applyAlignment="1">
      <alignment vertical="center" wrapText="1"/>
    </xf>
    <xf numFmtId="0" fontId="7" fillId="0" borderId="2" xfId="0" applyFont="1" applyBorder="1" applyAlignment="1">
      <alignment wrapText="1"/>
    </xf>
    <xf numFmtId="0" fontId="12" fillId="0" borderId="0" xfId="0" applyFont="1" applyAlignment="1">
      <alignment wrapText="1"/>
    </xf>
    <xf numFmtId="0" fontId="24" fillId="0" borderId="2" xfId="0" applyFont="1" applyBorder="1" applyAlignment="1">
      <alignment vertical="center" wrapText="1"/>
    </xf>
    <xf numFmtId="0" fontId="24" fillId="0" borderId="0" xfId="0" applyFont="1" applyAlignment="1">
      <alignment vertical="center" wrapText="1"/>
    </xf>
    <xf numFmtId="0" fontId="24" fillId="0" borderId="0" xfId="0" applyFont="1" applyBorder="1" applyAlignment="1">
      <alignment vertical="center" wrapText="1"/>
    </xf>
    <xf numFmtId="49" fontId="20" fillId="3" borderId="2" xfId="0" applyNumberFormat="1" applyFont="1" applyFill="1" applyBorder="1" applyAlignment="1" applyProtection="1">
      <alignment vertical="center" wrapText="1"/>
    </xf>
    <xf numFmtId="0" fontId="20" fillId="2" borderId="0" xfId="0" applyFont="1" applyFill="1" applyAlignment="1">
      <alignment wrapText="1"/>
    </xf>
    <xf numFmtId="0" fontId="20" fillId="3" borderId="2" xfId="4" applyFont="1" applyFill="1" applyBorder="1" applyAlignment="1" applyProtection="1">
      <alignment vertical="center" wrapText="1"/>
    </xf>
    <xf numFmtId="0" fontId="13" fillId="2" borderId="0" xfId="0" applyFont="1" applyFill="1" applyAlignment="1">
      <alignment vertical="top" wrapText="1"/>
    </xf>
    <xf numFmtId="0" fontId="20" fillId="2" borderId="0" xfId="0" applyFont="1" applyFill="1" applyAlignment="1">
      <alignment vertical="top" wrapText="1"/>
    </xf>
    <xf numFmtId="0" fontId="22" fillId="0" borderId="2" xfId="0" applyFont="1" applyBorder="1" applyAlignment="1">
      <alignment vertical="top" wrapText="1"/>
    </xf>
    <xf numFmtId="0" fontId="13" fillId="0" borderId="2" xfId="0" applyFont="1" applyBorder="1" applyAlignment="1">
      <alignment vertical="top" wrapText="1"/>
    </xf>
    <xf numFmtId="0" fontId="13" fillId="2" borderId="2" xfId="0" applyFont="1" applyFill="1" applyBorder="1" applyAlignment="1">
      <alignment vertical="top" wrapText="1"/>
    </xf>
    <xf numFmtId="0" fontId="13" fillId="0" borderId="0" xfId="0" applyFont="1" applyAlignment="1">
      <alignment vertical="top" wrapText="1"/>
    </xf>
    <xf numFmtId="49" fontId="13" fillId="2" borderId="2" xfId="0" quotePrefix="1" applyNumberFormat="1" applyFont="1" applyFill="1" applyBorder="1" applyAlignment="1">
      <alignment wrapText="1"/>
    </xf>
    <xf numFmtId="0" fontId="17" fillId="5" borderId="2" xfId="0" applyFont="1" applyFill="1" applyBorder="1"/>
    <xf numFmtId="0" fontId="20" fillId="2" borderId="0" xfId="0" applyFont="1" applyFill="1" applyAlignment="1">
      <alignment horizontal="left" wrapText="1"/>
    </xf>
    <xf numFmtId="14" fontId="13" fillId="5" borderId="2" xfId="0" applyNumberFormat="1" applyFont="1" applyFill="1" applyBorder="1"/>
    <xf numFmtId="0" fontId="13" fillId="5" borderId="2" xfId="0" applyFont="1" applyFill="1" applyBorder="1" applyAlignment="1">
      <alignment vertical="top" wrapText="1"/>
    </xf>
    <xf numFmtId="49" fontId="13" fillId="5" borderId="2" xfId="0" quotePrefix="1" applyNumberFormat="1" applyFont="1" applyFill="1" applyBorder="1"/>
    <xf numFmtId="0" fontId="13" fillId="5" borderId="2" xfId="0" applyFont="1" applyFill="1" applyBorder="1" applyAlignment="1">
      <alignment wrapText="1"/>
    </xf>
    <xf numFmtId="9" fontId="13" fillId="5" borderId="2" xfId="0" applyNumberFormat="1" applyFont="1" applyFill="1" applyBorder="1"/>
    <xf numFmtId="49" fontId="13" fillId="5" borderId="2" xfId="0" applyNumberFormat="1" applyFont="1" applyFill="1" applyBorder="1"/>
    <xf numFmtId="164" fontId="0" fillId="0" borderId="0" xfId="0" applyNumberFormat="1" applyAlignment="1">
      <alignment vertical="top"/>
    </xf>
    <xf numFmtId="164" fontId="13" fillId="0" borderId="0" xfId="0" applyNumberFormat="1" applyFont="1"/>
    <xf numFmtId="164" fontId="13" fillId="0" borderId="2" xfId="0" applyNumberFormat="1" applyFont="1" applyBorder="1"/>
    <xf numFmtId="164" fontId="13" fillId="2" borderId="0" xfId="0" applyNumberFormat="1" applyFont="1" applyFill="1"/>
    <xf numFmtId="49" fontId="13" fillId="2" borderId="2" xfId="0" applyNumberFormat="1" applyFont="1" applyFill="1" applyBorder="1" applyAlignment="1">
      <alignment wrapText="1"/>
    </xf>
    <xf numFmtId="0" fontId="13" fillId="2" borderId="6" xfId="0" applyFont="1" applyFill="1" applyBorder="1" applyAlignment="1">
      <alignment wrapText="1"/>
    </xf>
    <xf numFmtId="14" fontId="24" fillId="3" borderId="0" xfId="0" applyNumberFormat="1" applyFont="1" applyFill="1" applyBorder="1" applyAlignment="1" applyProtection="1">
      <alignment horizontal="center" vertical="top" wrapText="1"/>
    </xf>
    <xf numFmtId="14" fontId="17" fillId="0" borderId="6" xfId="0" applyNumberFormat="1" applyFont="1" applyBorder="1" applyAlignment="1">
      <alignment vertical="top" wrapText="1"/>
    </xf>
    <xf numFmtId="0" fontId="33" fillId="5" borderId="0" xfId="0" applyFont="1" applyFill="1" applyAlignment="1">
      <alignment wrapText="1"/>
    </xf>
    <xf numFmtId="0" fontId="4" fillId="5" borderId="2" xfId="2" applyFill="1" applyBorder="1"/>
    <xf numFmtId="164" fontId="13" fillId="5" borderId="0" xfId="0" applyNumberFormat="1" applyFont="1" applyFill="1"/>
    <xf numFmtId="0" fontId="13" fillId="5" borderId="6" xfId="0" applyFont="1" applyFill="1" applyBorder="1" applyAlignment="1">
      <alignment wrapText="1"/>
    </xf>
    <xf numFmtId="0" fontId="5" fillId="0" borderId="0" xfId="0" applyFont="1" applyAlignment="1">
      <alignment wrapText="1"/>
    </xf>
    <xf numFmtId="0" fontId="6" fillId="0" borderId="2" xfId="2" applyFont="1" applyBorder="1" applyAlignment="1" applyProtection="1">
      <alignment wrapText="1"/>
    </xf>
    <xf numFmtId="14" fontId="5" fillId="0" borderId="2" xfId="0" applyNumberFormat="1" applyFont="1" applyBorder="1" applyAlignment="1">
      <alignment wrapText="1"/>
    </xf>
    <xf numFmtId="14" fontId="5" fillId="0" borderId="0" xfId="0" applyNumberFormat="1" applyFont="1" applyAlignment="1">
      <alignment wrapText="1"/>
    </xf>
    <xf numFmtId="0" fontId="4" fillId="0" borderId="2" xfId="2" applyFill="1" applyBorder="1" applyAlignment="1" applyProtection="1">
      <alignment vertical="center" wrapText="1"/>
    </xf>
    <xf numFmtId="9" fontId="5" fillId="0" borderId="2" xfId="0" applyNumberFormat="1" applyFont="1" applyBorder="1" applyAlignment="1"/>
    <xf numFmtId="0" fontId="8" fillId="2" borderId="2" xfId="0" applyFont="1" applyFill="1" applyBorder="1" applyAlignment="1" applyProtection="1">
      <alignment vertical="center" wrapText="1"/>
    </xf>
    <xf numFmtId="0" fontId="7" fillId="2" borderId="2" xfId="0" quotePrefix="1" applyFont="1" applyFill="1" applyBorder="1" applyAlignment="1">
      <alignment wrapText="1"/>
    </xf>
    <xf numFmtId="0" fontId="17" fillId="2" borderId="2" xfId="0" applyFont="1" applyFill="1" applyBorder="1" applyAlignment="1">
      <alignment vertical="top" wrapText="1"/>
    </xf>
    <xf numFmtId="0" fontId="32" fillId="0" borderId="2" xfId="0" applyFont="1" applyBorder="1"/>
    <xf numFmtId="49" fontId="32" fillId="2" borderId="2" xfId="0" applyNumberFormat="1" applyFont="1" applyFill="1" applyBorder="1"/>
    <xf numFmtId="0" fontId="32" fillId="2" borderId="2" xfId="0" applyFont="1" applyFill="1" applyBorder="1" applyAlignment="1">
      <alignment wrapText="1"/>
    </xf>
    <xf numFmtId="0" fontId="32" fillId="2" borderId="2" xfId="0" applyFont="1" applyFill="1" applyBorder="1"/>
    <xf numFmtId="164" fontId="32" fillId="2" borderId="2" xfId="1" applyNumberFormat="1" applyFont="1" applyFill="1" applyBorder="1"/>
    <xf numFmtId="9" fontId="32" fillId="0" borderId="2" xfId="0" applyNumberFormat="1" applyFont="1" applyBorder="1"/>
    <xf numFmtId="0" fontId="32" fillId="0" borderId="0" xfId="0" applyFont="1"/>
    <xf numFmtId="164" fontId="32" fillId="5" borderId="2" xfId="1" applyNumberFormat="1" applyFont="1" applyFill="1" applyBorder="1"/>
    <xf numFmtId="0" fontId="32" fillId="5" borderId="2" xfId="0" applyFont="1" applyFill="1" applyBorder="1"/>
    <xf numFmtId="49" fontId="17" fillId="2" borderId="2" xfId="0" applyNumberFormat="1" applyFont="1" applyFill="1" applyBorder="1"/>
    <xf numFmtId="0" fontId="34" fillId="2" borderId="2" xfId="2" applyFont="1" applyFill="1" applyBorder="1"/>
    <xf numFmtId="164" fontId="17" fillId="5" borderId="2" xfId="1" applyNumberFormat="1" applyFont="1" applyFill="1" applyBorder="1"/>
    <xf numFmtId="164" fontId="32" fillId="0" borderId="2" xfId="1" applyNumberFormat="1" applyFont="1" applyBorder="1"/>
    <xf numFmtId="164" fontId="32" fillId="2" borderId="2" xfId="0" applyNumberFormat="1" applyFont="1" applyFill="1" applyBorder="1"/>
    <xf numFmtId="164" fontId="32" fillId="5" borderId="2" xfId="0" applyNumberFormat="1" applyFont="1" applyFill="1" applyBorder="1"/>
    <xf numFmtId="0" fontId="35" fillId="2" borderId="2" xfId="0" applyFont="1" applyFill="1" applyBorder="1" applyAlignment="1">
      <alignment vertical="top"/>
    </xf>
    <xf numFmtId="0" fontId="35" fillId="2" borderId="6" xfId="0" applyFont="1" applyFill="1" applyBorder="1" applyAlignment="1">
      <alignment vertical="top" wrapText="1"/>
    </xf>
    <xf numFmtId="0" fontId="35" fillId="2" borderId="2" xfId="0" applyFont="1" applyFill="1" applyBorder="1" applyAlignment="1">
      <alignment vertical="top" wrapText="1"/>
    </xf>
    <xf numFmtId="0" fontId="35" fillId="2" borderId="2" xfId="0" quotePrefix="1" applyFont="1" applyFill="1" applyBorder="1" applyAlignment="1">
      <alignment vertical="top" wrapText="1"/>
    </xf>
    <xf numFmtId="0" fontId="36" fillId="2" borderId="2" xfId="2" applyFont="1" applyFill="1" applyBorder="1" applyAlignment="1">
      <alignment vertical="top" wrapText="1"/>
    </xf>
    <xf numFmtId="164" fontId="13" fillId="2" borderId="2" xfId="1" applyNumberFormat="1" applyFont="1" applyFill="1" applyBorder="1" applyAlignment="1">
      <alignment vertical="top" wrapText="1"/>
    </xf>
    <xf numFmtId="0" fontId="35" fillId="2" borderId="0" xfId="0" applyFont="1" applyFill="1" applyAlignment="1">
      <alignment vertical="top" wrapText="1"/>
    </xf>
    <xf numFmtId="0" fontId="35" fillId="2" borderId="0" xfId="0" applyFont="1" applyFill="1" applyAlignment="1">
      <alignment vertical="top"/>
    </xf>
    <xf numFmtId="0" fontId="35" fillId="2" borderId="0" xfId="0" applyFont="1" applyFill="1"/>
    <xf numFmtId="0" fontId="35" fillId="0" borderId="0" xfId="0" applyFont="1" applyAlignment="1">
      <alignment vertical="top"/>
    </xf>
    <xf numFmtId="0" fontId="35" fillId="0" borderId="0" xfId="0" applyFont="1" applyAlignment="1">
      <alignment vertical="top" wrapText="1"/>
    </xf>
    <xf numFmtId="14" fontId="35" fillId="0" borderId="2" xfId="0" applyNumberFormat="1" applyFont="1" applyBorder="1" applyAlignment="1">
      <alignment vertical="top" wrapText="1"/>
    </xf>
    <xf numFmtId="0" fontId="35" fillId="0" borderId="2" xfId="0" quotePrefix="1" applyFont="1" applyBorder="1" applyAlignment="1">
      <alignment vertical="top" wrapText="1"/>
    </xf>
    <xf numFmtId="0" fontId="35" fillId="0" borderId="2" xfId="0" applyFont="1" applyBorder="1" applyAlignment="1">
      <alignment vertical="top" wrapText="1"/>
    </xf>
    <xf numFmtId="164" fontId="13" fillId="5" borderId="2" xfId="1" applyNumberFormat="1" applyFont="1" applyFill="1" applyBorder="1" applyAlignment="1">
      <alignment vertical="top" wrapText="1"/>
    </xf>
    <xf numFmtId="0" fontId="35" fillId="0" borderId="0" xfId="0" applyFont="1"/>
    <xf numFmtId="0" fontId="13" fillId="2" borderId="4" xfId="0" applyFont="1" applyFill="1" applyBorder="1" applyAlignment="1">
      <alignment vertical="top" wrapText="1"/>
    </xf>
    <xf numFmtId="0" fontId="8" fillId="0" borderId="2" xfId="0" applyFont="1" applyBorder="1" applyAlignment="1"/>
    <xf numFmtId="14" fontId="8" fillId="0" borderId="2" xfId="0" quotePrefix="1" applyNumberFormat="1" applyFont="1" applyBorder="1" applyAlignment="1"/>
    <xf numFmtId="0" fontId="8" fillId="0" borderId="2" xfId="0" quotePrefix="1" applyFont="1" applyBorder="1" applyAlignment="1">
      <alignment wrapText="1"/>
    </xf>
    <xf numFmtId="0" fontId="8" fillId="0" borderId="2" xfId="0" applyFont="1" applyBorder="1" applyAlignment="1">
      <alignment wrapText="1"/>
    </xf>
    <xf numFmtId="14" fontId="8" fillId="0" borderId="2" xfId="0" applyNumberFormat="1" applyFont="1" applyBorder="1" applyAlignment="1"/>
    <xf numFmtId="0" fontId="37" fillId="0" borderId="2" xfId="3" applyFont="1" applyBorder="1" applyAlignment="1" applyProtection="1">
      <alignment wrapText="1"/>
    </xf>
    <xf numFmtId="0" fontId="36" fillId="0" borderId="2" xfId="2" applyFont="1" applyFill="1" applyBorder="1" applyAlignment="1" applyProtection="1">
      <alignment vertical="center" wrapText="1"/>
    </xf>
    <xf numFmtId="164" fontId="8" fillId="0" borderId="2" xfId="1" applyNumberFormat="1" applyFont="1" applyBorder="1" applyAlignment="1"/>
    <xf numFmtId="164" fontId="13" fillId="0" borderId="2" xfId="1" applyNumberFormat="1" applyFont="1" applyBorder="1" applyAlignment="1"/>
    <xf numFmtId="9" fontId="8" fillId="0" borderId="2" xfId="0" applyNumberFormat="1" applyFont="1" applyBorder="1" applyAlignment="1"/>
    <xf numFmtId="165" fontId="13" fillId="0" borderId="2" xfId="0" applyNumberFormat="1" applyFont="1" applyBorder="1" applyAlignment="1"/>
    <xf numFmtId="0" fontId="8" fillId="0" borderId="0" xfId="0" applyFont="1" applyAlignment="1"/>
    <xf numFmtId="0" fontId="36" fillId="2" borderId="2" xfId="2" applyFont="1" applyFill="1" applyBorder="1"/>
    <xf numFmtId="0" fontId="32" fillId="2" borderId="2" xfId="0" applyFont="1" applyFill="1" applyBorder="1" applyAlignment="1" applyProtection="1">
      <alignment horizontal="center" vertical="center" wrapText="1"/>
    </xf>
    <xf numFmtId="14" fontId="32" fillId="2" borderId="2" xfId="0" quotePrefix="1" applyNumberFormat="1" applyFont="1" applyFill="1" applyBorder="1"/>
    <xf numFmtId="0" fontId="32" fillId="2" borderId="2" xfId="0" applyFont="1" applyFill="1" applyBorder="1" applyAlignment="1" applyProtection="1">
      <alignment wrapText="1"/>
    </xf>
    <xf numFmtId="49" fontId="32" fillId="2" borderId="2" xfId="0" applyNumberFormat="1" applyFont="1" applyFill="1" applyBorder="1" applyAlignment="1" applyProtection="1">
      <alignment horizontal="left"/>
    </xf>
    <xf numFmtId="14" fontId="32" fillId="2" borderId="2" xfId="0" applyNumberFormat="1" applyFont="1" applyFill="1" applyBorder="1" applyAlignment="1" applyProtection="1">
      <alignment horizontal="center" vertical="center" wrapText="1"/>
    </xf>
    <xf numFmtId="0" fontId="32" fillId="2" borderId="2" xfId="0" applyFont="1" applyFill="1" applyBorder="1" applyAlignment="1" applyProtection="1">
      <alignment horizontal="left" wrapText="1"/>
    </xf>
    <xf numFmtId="49" fontId="32" fillId="2" borderId="2" xfId="0" applyNumberFormat="1" applyFont="1" applyFill="1" applyBorder="1" applyAlignment="1" applyProtection="1">
      <alignment horizontal="center" vertical="center" wrapText="1"/>
    </xf>
    <xf numFmtId="164" fontId="38" fillId="0" borderId="2" xfId="0" applyNumberFormat="1" applyFont="1" applyBorder="1" applyAlignment="1">
      <alignment vertical="center" wrapText="1"/>
    </xf>
    <xf numFmtId="0" fontId="38" fillId="0" borderId="2" xfId="0" applyFont="1" applyBorder="1" applyAlignment="1"/>
    <xf numFmtId="0" fontId="32" fillId="2" borderId="0" xfId="0" applyFont="1" applyFill="1"/>
    <xf numFmtId="0" fontId="39" fillId="0" borderId="0" xfId="0" quotePrefix="1" applyFont="1"/>
    <xf numFmtId="0" fontId="40" fillId="0" borderId="2" xfId="0" applyFont="1" applyBorder="1" applyAlignment="1"/>
    <xf numFmtId="0" fontId="8" fillId="0" borderId="2" xfId="0" quotePrefix="1" applyFont="1" applyBorder="1" applyAlignment="1"/>
    <xf numFmtId="14" fontId="8" fillId="0" borderId="2" xfId="0" applyNumberFormat="1" applyFont="1" applyBorder="1" applyAlignment="1">
      <alignment wrapText="1"/>
    </xf>
    <xf numFmtId="164" fontId="38" fillId="0" borderId="2" xfId="1" applyNumberFormat="1" applyFont="1" applyBorder="1" applyAlignment="1"/>
    <xf numFmtId="0" fontId="8" fillId="5" borderId="0" xfId="0" applyFont="1" applyFill="1" applyAlignment="1"/>
    <xf numFmtId="0" fontId="38" fillId="5" borderId="0" xfId="0" applyFont="1" applyFill="1" applyAlignment="1"/>
    <xf numFmtId="9" fontId="17" fillId="2" borderId="2" xfId="0" applyNumberFormat="1" applyFont="1" applyFill="1" applyBorder="1"/>
    <xf numFmtId="1" fontId="24" fillId="3" borderId="0" xfId="0" applyNumberFormat="1" applyFont="1" applyFill="1" applyBorder="1" applyAlignment="1" applyProtection="1">
      <alignment horizontal="center" vertical="top" wrapText="1"/>
    </xf>
    <xf numFmtId="1" fontId="17" fillId="0" borderId="6" xfId="0" applyNumberFormat="1" applyFont="1" applyBorder="1" applyAlignment="1">
      <alignment vertical="top" wrapText="1"/>
    </xf>
    <xf numFmtId="1" fontId="0" fillId="0" borderId="0" xfId="0" applyNumberFormat="1" applyAlignment="1">
      <alignment vertical="top" wrapText="1"/>
    </xf>
    <xf numFmtId="0" fontId="17" fillId="0" borderId="2" xfId="0" quotePrefix="1" applyFont="1" applyFill="1" applyBorder="1"/>
    <xf numFmtId="164" fontId="17" fillId="0" borderId="2" xfId="1" applyNumberFormat="1" applyFont="1" applyBorder="1"/>
    <xf numFmtId="0" fontId="32" fillId="0" borderId="2" xfId="0" applyFont="1" applyBorder="1" applyAlignment="1">
      <alignment vertical="top" wrapText="1"/>
    </xf>
    <xf numFmtId="49" fontId="32" fillId="0" borderId="2" xfId="0" applyNumberFormat="1" applyFont="1" applyBorder="1"/>
    <xf numFmtId="1" fontId="13" fillId="0" borderId="6" xfId="0" applyNumberFormat="1" applyFont="1" applyBorder="1" applyAlignment="1">
      <alignment vertical="top" wrapText="1"/>
    </xf>
    <xf numFmtId="14" fontId="13" fillId="2" borderId="6" xfId="0" applyNumberFormat="1" applyFont="1" applyFill="1" applyBorder="1" applyAlignment="1">
      <alignment wrapText="1"/>
    </xf>
    <xf numFmtId="43" fontId="8" fillId="0" borderId="2" xfId="0" applyNumberFormat="1" applyFont="1" applyBorder="1" applyAlignment="1"/>
    <xf numFmtId="43" fontId="8" fillId="5" borderId="0" xfId="0" applyNumberFormat="1" applyFont="1" applyFill="1" applyAlignment="1"/>
    <xf numFmtId="166" fontId="13" fillId="0" borderId="2" xfId="0" applyNumberFormat="1" applyFont="1" applyBorder="1"/>
    <xf numFmtId="164" fontId="8" fillId="2" borderId="2" xfId="1" applyNumberFormat="1" applyFont="1" applyFill="1" applyBorder="1" applyAlignment="1"/>
    <xf numFmtId="0" fontId="8" fillId="2" borderId="2" xfId="0" applyFont="1" applyFill="1" applyBorder="1" applyAlignment="1"/>
    <xf numFmtId="49" fontId="13" fillId="0" borderId="2" xfId="0" applyNumberFormat="1" applyFont="1" applyBorder="1" applyAlignment="1">
      <alignment wrapText="1"/>
    </xf>
    <xf numFmtId="49" fontId="8" fillId="5" borderId="0" xfId="0" applyNumberFormat="1" applyFont="1" applyFill="1" applyAlignment="1">
      <alignment vertical="center" wrapText="1"/>
    </xf>
    <xf numFmtId="14" fontId="8" fillId="5" borderId="0" xfId="2" applyNumberFormat="1" applyFont="1" applyFill="1" applyAlignment="1" applyProtection="1">
      <alignment vertical="center" wrapText="1"/>
    </xf>
    <xf numFmtId="164" fontId="8" fillId="5" borderId="0" xfId="1" applyNumberFormat="1" applyFont="1" applyFill="1" applyAlignment="1">
      <alignment vertical="center" wrapText="1"/>
    </xf>
    <xf numFmtId="164" fontId="8" fillId="5" borderId="0" xfId="0" applyNumberFormat="1" applyFont="1" applyFill="1" applyAlignment="1">
      <alignment vertical="center" wrapText="1"/>
    </xf>
    <xf numFmtId="164" fontId="8" fillId="5" borderId="2" xfId="1" applyNumberFormat="1" applyFont="1" applyFill="1" applyBorder="1" applyAlignment="1"/>
    <xf numFmtId="0" fontId="8" fillId="5" borderId="2" xfId="0" applyFont="1" applyFill="1" applyBorder="1" applyAlignment="1"/>
    <xf numFmtId="164" fontId="13" fillId="2" borderId="4" xfId="1" applyNumberFormat="1" applyFont="1" applyFill="1" applyBorder="1"/>
    <xf numFmtId="0" fontId="2" fillId="5" borderId="0" xfId="0" applyFont="1" applyFill="1" applyAlignment="1">
      <alignment vertical="top" wrapText="1"/>
    </xf>
    <xf numFmtId="164" fontId="24" fillId="5" borderId="4" xfId="1" applyNumberFormat="1" applyFont="1" applyFill="1" applyBorder="1" applyAlignment="1">
      <alignment horizontal="center" vertical="top" wrapText="1"/>
    </xf>
    <xf numFmtId="164" fontId="17" fillId="5" borderId="2" xfId="1" applyNumberFormat="1" applyFont="1" applyFill="1" applyBorder="1" applyAlignment="1">
      <alignment vertical="top" wrapText="1"/>
    </xf>
    <xf numFmtId="0" fontId="35" fillId="5" borderId="2" xfId="0" applyFont="1" applyFill="1" applyBorder="1" applyAlignment="1">
      <alignment vertical="top" wrapText="1"/>
    </xf>
    <xf numFmtId="0" fontId="0" fillId="5" borderId="0" xfId="0" applyFill="1" applyAlignment="1">
      <alignment vertical="top" wrapText="1"/>
    </xf>
    <xf numFmtId="0" fontId="13" fillId="2" borderId="4" xfId="0" applyFont="1" applyFill="1" applyBorder="1"/>
    <xf numFmtId="0" fontId="38" fillId="5" borderId="2" xfId="0" applyFont="1" applyFill="1" applyBorder="1" applyAlignment="1"/>
    <xf numFmtId="0" fontId="32" fillId="0" borderId="2" xfId="0" applyFont="1" applyBorder="1" applyAlignment="1">
      <alignment wrapText="1"/>
    </xf>
    <xf numFmtId="0" fontId="13" fillId="0" borderId="4" xfId="0" applyFont="1" applyBorder="1"/>
    <xf numFmtId="0" fontId="13" fillId="0" borderId="4" xfId="0" applyFont="1" applyBorder="1" applyAlignment="1">
      <alignment vertical="top" wrapText="1"/>
    </xf>
    <xf numFmtId="49" fontId="13" fillId="0" borderId="4" xfId="0" applyNumberFormat="1" applyFont="1" applyBorder="1"/>
    <xf numFmtId="0" fontId="13" fillId="2" borderId="4" xfId="0" applyFont="1" applyFill="1" applyBorder="1" applyAlignment="1">
      <alignment wrapText="1"/>
    </xf>
    <xf numFmtId="9" fontId="13" fillId="0" borderId="4" xfId="0" applyNumberFormat="1" applyFont="1" applyBorder="1"/>
    <xf numFmtId="164" fontId="13" fillId="5" borderId="4" xfId="1" applyNumberFormat="1" applyFont="1" applyFill="1" applyBorder="1"/>
    <xf numFmtId="0" fontId="13" fillId="5" borderId="4" xfId="0" applyFont="1" applyFill="1" applyBorder="1"/>
    <xf numFmtId="164" fontId="8" fillId="0" borderId="2" xfId="0" applyNumberFormat="1" applyFont="1" applyBorder="1" applyAlignment="1">
      <alignment vertical="center" wrapText="1"/>
    </xf>
    <xf numFmtId="164" fontId="8" fillId="2" borderId="2" xfId="0" applyNumberFormat="1" applyFont="1" applyFill="1" applyBorder="1" applyAlignment="1">
      <alignment vertical="center" wrapText="1"/>
    </xf>
    <xf numFmtId="164" fontId="8" fillId="2" borderId="0" xfId="1" applyNumberFormat="1" applyFont="1" applyFill="1" applyAlignment="1">
      <alignment vertical="center" wrapText="1"/>
    </xf>
    <xf numFmtId="164" fontId="8" fillId="2" borderId="0" xfId="0" applyNumberFormat="1" applyFont="1" applyFill="1" applyAlignment="1">
      <alignment vertical="center" wrapText="1"/>
    </xf>
    <xf numFmtId="1" fontId="0" fillId="0" borderId="2" xfId="0" applyNumberFormat="1" applyBorder="1" applyAlignment="1">
      <alignment vertical="top" wrapText="1"/>
    </xf>
    <xf numFmtId="0" fontId="0" fillId="0" borderId="2" xfId="0" applyBorder="1" applyAlignment="1">
      <alignment vertical="top" wrapText="1"/>
    </xf>
    <xf numFmtId="0" fontId="41" fillId="0" borderId="0" xfId="0" applyFont="1"/>
    <xf numFmtId="14" fontId="32" fillId="0" borderId="2" xfId="0" applyNumberFormat="1" applyFont="1" applyBorder="1"/>
    <xf numFmtId="164" fontId="13" fillId="5" borderId="2" xfId="1" applyNumberFormat="1" applyFont="1" applyFill="1" applyBorder="1" applyAlignment="1">
      <alignment wrapText="1"/>
    </xf>
    <xf numFmtId="0" fontId="13" fillId="5" borderId="2" xfId="0" quotePrefix="1" applyFont="1" applyFill="1" applyBorder="1"/>
    <xf numFmtId="3" fontId="13" fillId="5" borderId="2" xfId="0" applyNumberFormat="1" applyFont="1" applyFill="1" applyBorder="1"/>
    <xf numFmtId="1" fontId="35" fillId="0" borderId="2" xfId="0" applyNumberFormat="1" applyFont="1" applyBorder="1" applyAlignment="1">
      <alignment vertical="top" wrapText="1"/>
    </xf>
    <xf numFmtId="164" fontId="35" fillId="0" borderId="2" xfId="0" applyNumberFormat="1" applyFont="1" applyBorder="1" applyAlignment="1">
      <alignment vertical="top" wrapText="1"/>
    </xf>
    <xf numFmtId="49" fontId="17" fillId="0" borderId="2" xfId="0" applyNumberFormat="1" applyFont="1" applyBorder="1"/>
    <xf numFmtId="0" fontId="42" fillId="2" borderId="2" xfId="2" applyFont="1" applyFill="1" applyBorder="1"/>
    <xf numFmtId="0" fontId="36" fillId="0" borderId="2" xfId="2" applyFont="1" applyBorder="1"/>
    <xf numFmtId="0" fontId="43" fillId="0" borderId="0" xfId="0" applyFont="1" applyAlignment="1">
      <alignment vertical="top"/>
    </xf>
    <xf numFmtId="0" fontId="43" fillId="0" borderId="0" xfId="0" applyFont="1" applyAlignment="1">
      <alignment vertical="top" wrapText="1"/>
    </xf>
    <xf numFmtId="1" fontId="43" fillId="0" borderId="2" xfId="0" applyNumberFormat="1" applyFont="1" applyBorder="1" applyAlignment="1">
      <alignment vertical="top" wrapText="1"/>
    </xf>
    <xf numFmtId="0" fontId="43" fillId="0" borderId="2" xfId="0" applyFont="1" applyBorder="1" applyAlignment="1">
      <alignment vertical="top" wrapText="1"/>
    </xf>
    <xf numFmtId="164" fontId="43" fillId="0" borderId="2" xfId="0" applyNumberFormat="1" applyFont="1" applyBorder="1" applyAlignment="1">
      <alignment vertical="top" wrapText="1"/>
    </xf>
    <xf numFmtId="0" fontId="43" fillId="5" borderId="2" xfId="0" applyFont="1" applyFill="1" applyBorder="1" applyAlignment="1">
      <alignment vertical="top" wrapText="1"/>
    </xf>
    <xf numFmtId="0" fontId="43" fillId="0" borderId="0" xfId="0" applyFont="1"/>
    <xf numFmtId="0" fontId="13" fillId="2" borderId="7" xfId="0" applyFont="1" applyFill="1" applyBorder="1" applyAlignment="1">
      <alignment wrapText="1"/>
    </xf>
    <xf numFmtId="49" fontId="13" fillId="2" borderId="4" xfId="0" applyNumberFormat="1" applyFont="1" applyFill="1" applyBorder="1"/>
    <xf numFmtId="164" fontId="13" fillId="0" borderId="4" xfId="1" applyNumberFormat="1" applyFont="1" applyBorder="1"/>
    <xf numFmtId="49" fontId="24" fillId="0" borderId="0" xfId="0" applyNumberFormat="1" applyFont="1" applyAlignment="1">
      <alignment horizontal="center" vertical="center"/>
    </xf>
    <xf numFmtId="49" fontId="24" fillId="0" borderId="0" xfId="0" applyNumberFormat="1" applyFont="1" applyBorder="1" applyAlignment="1">
      <alignment horizontal="center" vertical="center" wrapText="1"/>
    </xf>
    <xf numFmtId="49" fontId="32" fillId="2" borderId="2" xfId="0" applyNumberFormat="1" applyFont="1" applyFill="1" applyBorder="1" applyAlignment="1" applyProtection="1">
      <alignment horizontal="left" wrapText="1"/>
    </xf>
    <xf numFmtId="49" fontId="5" fillId="0" borderId="2" xfId="0" applyNumberFormat="1" applyFont="1" applyBorder="1" applyAlignment="1">
      <alignment vertical="center" wrapText="1"/>
    </xf>
    <xf numFmtId="49" fontId="17" fillId="0" borderId="2" xfId="0" applyNumberFormat="1" applyFont="1" applyBorder="1" applyAlignment="1">
      <alignment wrapText="1"/>
    </xf>
    <xf numFmtId="49" fontId="5" fillId="0" borderId="0" xfId="0" applyNumberFormat="1" applyFont="1" applyAlignment="1">
      <alignment vertical="center" wrapText="1"/>
    </xf>
    <xf numFmtId="49" fontId="13" fillId="2" borderId="2" xfId="1" applyNumberFormat="1" applyFont="1" applyFill="1" applyBorder="1" applyAlignment="1">
      <alignment wrapText="1"/>
    </xf>
    <xf numFmtId="49" fontId="13" fillId="5" borderId="2" xfId="0" applyNumberFormat="1" applyFont="1" applyFill="1" applyBorder="1" applyAlignment="1">
      <alignment wrapText="1"/>
    </xf>
    <xf numFmtId="49" fontId="8" fillId="0" borderId="2" xfId="1" applyNumberFormat="1" applyFont="1" applyBorder="1" applyAlignment="1"/>
    <xf numFmtId="49" fontId="8" fillId="5" borderId="0" xfId="1" applyNumberFormat="1" applyFont="1" applyFill="1" applyAlignment="1">
      <alignment vertical="center" wrapText="1"/>
    </xf>
    <xf numFmtId="49" fontId="13" fillId="2" borderId="0" xfId="0" applyNumberFormat="1" applyFont="1" applyFill="1" applyAlignment="1">
      <alignment wrapText="1"/>
    </xf>
    <xf numFmtId="49" fontId="8" fillId="2" borderId="0" xfId="1" applyNumberFormat="1" applyFont="1" applyFill="1" applyAlignment="1">
      <alignment vertical="center" wrapText="1"/>
    </xf>
    <xf numFmtId="0" fontId="43" fillId="0" borderId="2" xfId="0" quotePrefix="1" applyFont="1" applyBorder="1" applyAlignment="1">
      <alignment vertical="top" wrapText="1"/>
    </xf>
    <xf numFmtId="49" fontId="8" fillId="0" borderId="0" xfId="0" applyNumberFormat="1" applyFont="1" applyAlignment="1">
      <alignment vertical="center" wrapText="1"/>
    </xf>
    <xf numFmtId="14" fontId="8" fillId="0" borderId="0" xfId="2" applyNumberFormat="1" applyFont="1" applyAlignment="1" applyProtection="1">
      <alignment vertical="center" wrapText="1"/>
    </xf>
    <xf numFmtId="164" fontId="8" fillId="0" borderId="0" xfId="1" applyNumberFormat="1" applyFont="1" applyAlignment="1">
      <alignment vertical="center" wrapText="1"/>
    </xf>
    <xf numFmtId="14" fontId="17" fillId="5" borderId="2" xfId="0" applyNumberFormat="1" applyFont="1" applyFill="1" applyBorder="1"/>
    <xf numFmtId="0" fontId="17" fillId="5" borderId="2" xfId="0" applyFont="1" applyFill="1" applyBorder="1" applyAlignment="1">
      <alignment vertical="top" wrapText="1"/>
    </xf>
    <xf numFmtId="14" fontId="43" fillId="0" borderId="2" xfId="0" applyNumberFormat="1" applyFont="1" applyBorder="1" applyAlignment="1">
      <alignment vertical="top" wrapText="1"/>
    </xf>
    <xf numFmtId="0" fontId="4" fillId="0" borderId="2" xfId="2" applyBorder="1" applyAlignment="1">
      <alignment vertical="top" wrapText="1"/>
    </xf>
    <xf numFmtId="0" fontId="20" fillId="5" borderId="0" xfId="0" applyFont="1" applyFill="1" applyAlignment="1">
      <alignment horizontal="left"/>
    </xf>
    <xf numFmtId="0" fontId="20" fillId="5" borderId="4" xfId="0" applyFont="1" applyFill="1" applyBorder="1" applyAlignment="1">
      <alignment horizontal="center" vertical="center"/>
    </xf>
    <xf numFmtId="3" fontId="17" fillId="5" borderId="2" xfId="0" applyNumberFormat="1" applyFont="1" applyFill="1" applyBorder="1"/>
    <xf numFmtId="164" fontId="32" fillId="5" borderId="4" xfId="1" applyNumberFormat="1" applyFont="1" applyFill="1" applyBorder="1"/>
    <xf numFmtId="164" fontId="20" fillId="5" borderId="4" xfId="1" applyNumberFormat="1" applyFont="1" applyFill="1" applyBorder="1" applyAlignment="1" applyProtection="1">
      <alignment horizontal="center" vertical="center" wrapText="1"/>
    </xf>
    <xf numFmtId="0" fontId="36" fillId="5" borderId="2" xfId="2" applyFont="1" applyFill="1" applyBorder="1"/>
    <xf numFmtId="0" fontId="32" fillId="6" borderId="2" xfId="0" applyFont="1" applyFill="1" applyBorder="1"/>
    <xf numFmtId="14" fontId="32" fillId="6" borderId="2" xfId="0" applyNumberFormat="1" applyFont="1" applyFill="1" applyBorder="1"/>
    <xf numFmtId="0" fontId="32" fillId="6" borderId="2" xfId="0" applyFont="1" applyFill="1" applyBorder="1" applyAlignment="1">
      <alignment vertical="top" wrapText="1"/>
    </xf>
    <xf numFmtId="49" fontId="32" fillId="6" borderId="2" xfId="0" applyNumberFormat="1" applyFont="1" applyFill="1" applyBorder="1"/>
    <xf numFmtId="0" fontId="32" fillId="6" borderId="2" xfId="0" applyFont="1" applyFill="1" applyBorder="1" applyAlignment="1">
      <alignment wrapText="1"/>
    </xf>
    <xf numFmtId="0" fontId="4" fillId="6" borderId="2" xfId="2" applyFill="1" applyBorder="1"/>
    <xf numFmtId="0" fontId="13" fillId="6" borderId="2" xfId="0" applyFont="1" applyFill="1" applyBorder="1"/>
    <xf numFmtId="164" fontId="32" fillId="6" borderId="2" xfId="1" applyNumberFormat="1" applyFont="1" applyFill="1" applyBorder="1"/>
    <xf numFmtId="0" fontId="32" fillId="6" borderId="0" xfId="0" applyFont="1" applyFill="1"/>
    <xf numFmtId="0" fontId="28" fillId="5" borderId="2" xfId="0" applyFont="1" applyFill="1" applyBorder="1" applyAlignment="1">
      <alignment horizontal="center" vertical="center" wrapText="1"/>
    </xf>
    <xf numFmtId="14" fontId="38" fillId="0" borderId="2" xfId="0" applyNumberFormat="1" applyFont="1" applyBorder="1" applyAlignment="1"/>
    <xf numFmtId="0" fontId="38" fillId="2" borderId="2" xfId="0" applyFont="1" applyFill="1" applyBorder="1" applyAlignment="1" applyProtection="1">
      <alignment vertical="center" wrapText="1"/>
    </xf>
    <xf numFmtId="0" fontId="38" fillId="2" borderId="2" xfId="0" quotePrefix="1" applyFont="1" applyFill="1" applyBorder="1" applyAlignment="1">
      <alignment wrapText="1"/>
    </xf>
    <xf numFmtId="0" fontId="38" fillId="0" borderId="2" xfId="0" applyFont="1" applyBorder="1" applyAlignment="1">
      <alignment wrapText="1"/>
    </xf>
    <xf numFmtId="0" fontId="44" fillId="0" borderId="2" xfId="2" applyFont="1" applyBorder="1" applyAlignment="1" applyProtection="1">
      <alignment wrapText="1"/>
    </xf>
    <xf numFmtId="49" fontId="38" fillId="0" borderId="2" xfId="0" applyNumberFormat="1" applyFont="1" applyFill="1" applyBorder="1" applyAlignment="1" applyProtection="1">
      <alignment vertical="center" wrapText="1"/>
    </xf>
    <xf numFmtId="0" fontId="42" fillId="0" borderId="2" xfId="2" applyFont="1" applyFill="1" applyBorder="1" applyAlignment="1" applyProtection="1">
      <alignment vertical="center" wrapText="1"/>
    </xf>
    <xf numFmtId="9" fontId="38" fillId="0" borderId="2" xfId="0" applyNumberFormat="1" applyFont="1" applyBorder="1" applyAlignment="1"/>
    <xf numFmtId="165" fontId="32" fillId="0" borderId="2" xfId="0" applyNumberFormat="1" applyFont="1" applyBorder="1" applyAlignment="1"/>
    <xf numFmtId="0" fontId="38" fillId="0" borderId="0" xfId="0" applyFont="1" applyAlignment="1"/>
    <xf numFmtId="0" fontId="13" fillId="0" borderId="2" xfId="0" quotePrefix="1" applyFont="1" applyBorder="1" applyAlignment="1">
      <alignment vertical="top" wrapText="1"/>
    </xf>
    <xf numFmtId="49" fontId="32" fillId="2" borderId="2" xfId="0" applyNumberFormat="1" applyFont="1" applyFill="1" applyBorder="1" applyAlignment="1">
      <alignment wrapText="1"/>
    </xf>
    <xf numFmtId="0" fontId="45" fillId="0" borderId="0" xfId="0" quotePrefix="1" applyFont="1"/>
    <xf numFmtId="0" fontId="13" fillId="0" borderId="8" xfId="0" applyFont="1" applyBorder="1"/>
    <xf numFmtId="0" fontId="24" fillId="2" borderId="2" xfId="0" quotePrefix="1" applyFont="1" applyFill="1" applyBorder="1" applyAlignment="1">
      <alignment horizontal="center" vertical="center"/>
    </xf>
    <xf numFmtId="0" fontId="24" fillId="2" borderId="2" xfId="0" quotePrefix="1" applyFont="1" applyFill="1" applyBorder="1" applyAlignment="1" applyProtection="1">
      <alignment horizontal="center" vertical="center" wrapText="1"/>
    </xf>
    <xf numFmtId="0" fontId="32" fillId="0" borderId="2" xfId="0" applyFont="1" applyBorder="1" applyAlignment="1">
      <alignment horizontal="center"/>
    </xf>
    <xf numFmtId="0" fontId="32" fillId="0" borderId="2" xfId="0" quotePrefix="1" applyFont="1" applyBorder="1"/>
    <xf numFmtId="164" fontId="32" fillId="0" borderId="2" xfId="1" applyNumberFormat="1" applyFont="1" applyBorder="1" applyAlignment="1">
      <alignment wrapText="1"/>
    </xf>
    <xf numFmtId="164" fontId="32" fillId="2" borderId="2" xfId="0" applyNumberFormat="1" applyFont="1" applyFill="1" applyBorder="1" applyAlignment="1">
      <alignment wrapText="1"/>
    </xf>
    <xf numFmtId="0" fontId="32" fillId="0" borderId="0" xfId="0" applyFont="1" applyAlignment="1">
      <alignment wrapText="1"/>
    </xf>
    <xf numFmtId="49" fontId="32" fillId="0" borderId="2" xfId="0" quotePrefix="1" applyNumberFormat="1" applyFont="1" applyBorder="1"/>
    <xf numFmtId="0" fontId="32" fillId="0" borderId="2" xfId="0" applyFont="1" applyBorder="1" applyAlignment="1">
      <alignment vertical="center" wrapText="1"/>
    </xf>
    <xf numFmtId="164" fontId="42" fillId="0" borderId="2" xfId="2" applyNumberFormat="1" applyFont="1" applyBorder="1" applyAlignment="1">
      <alignment wrapText="1"/>
    </xf>
    <xf numFmtId="164" fontId="32" fillId="0" borderId="2" xfId="0" applyNumberFormat="1" applyFont="1" applyBorder="1" applyAlignment="1">
      <alignment wrapText="1"/>
    </xf>
    <xf numFmtId="0" fontId="13" fillId="0" borderId="4" xfId="0" applyFont="1" applyBorder="1" applyAlignment="1">
      <alignment horizontal="center"/>
    </xf>
    <xf numFmtId="0" fontId="13" fillId="0" borderId="4" xfId="0" quotePrefix="1" applyFont="1" applyBorder="1"/>
    <xf numFmtId="14" fontId="13" fillId="0" borderId="4" xfId="0" applyNumberFormat="1" applyFont="1" applyBorder="1"/>
    <xf numFmtId="0" fontId="13" fillId="0" borderId="4" xfId="0" applyFont="1" applyBorder="1" applyAlignment="1">
      <alignment wrapText="1"/>
    </xf>
    <xf numFmtId="0" fontId="13" fillId="0" borderId="4" xfId="0" applyFont="1" applyBorder="1" applyAlignment="1">
      <alignment vertical="center" wrapText="1"/>
    </xf>
    <xf numFmtId="164" fontId="36" fillId="0" borderId="4" xfId="2" applyNumberFormat="1" applyFont="1" applyBorder="1" applyAlignment="1">
      <alignment wrapText="1"/>
    </xf>
    <xf numFmtId="164" fontId="13" fillId="0" borderId="4" xfId="1" applyNumberFormat="1" applyFont="1" applyBorder="1" applyAlignment="1">
      <alignment wrapText="1"/>
    </xf>
    <xf numFmtId="164" fontId="13" fillId="2" borderId="4" xfId="1" applyNumberFormat="1" applyFont="1" applyFill="1" applyBorder="1" applyAlignment="1">
      <alignment wrapText="1"/>
    </xf>
    <xf numFmtId="9" fontId="13" fillId="0" borderId="4" xfId="5" applyFont="1" applyBorder="1" applyAlignment="1">
      <alignment wrapText="1"/>
    </xf>
    <xf numFmtId="164" fontId="13" fillId="0" borderId="4" xfId="0" applyNumberFormat="1" applyFont="1" applyBorder="1" applyAlignment="1">
      <alignment wrapText="1"/>
    </xf>
    <xf numFmtId="164" fontId="13" fillId="2" borderId="4" xfId="0" applyNumberFormat="1" applyFont="1" applyFill="1" applyBorder="1" applyAlignment="1">
      <alignment wrapText="1"/>
    </xf>
    <xf numFmtId="0" fontId="41" fillId="0" borderId="0" xfId="0" quotePrefix="1" applyFont="1"/>
    <xf numFmtId="0" fontId="8" fillId="2" borderId="2" xfId="0" quotePrefix="1" applyFont="1" applyFill="1" applyBorder="1" applyAlignment="1">
      <alignment wrapText="1"/>
    </xf>
    <xf numFmtId="0" fontId="37" fillId="0" borderId="2" xfId="2" applyFont="1" applyBorder="1" applyAlignment="1" applyProtection="1">
      <alignment wrapText="1"/>
    </xf>
    <xf numFmtId="0" fontId="13" fillId="0" borderId="2" xfId="0" applyFont="1" applyBorder="1" applyAlignment="1">
      <alignment horizontal="center"/>
    </xf>
    <xf numFmtId="0" fontId="13" fillId="0" borderId="2" xfId="0" applyFont="1" applyBorder="1" applyAlignment="1">
      <alignment vertical="center" wrapText="1"/>
    </xf>
    <xf numFmtId="164" fontId="36" fillId="0" borderId="2" xfId="2" applyNumberFormat="1" applyFont="1" applyBorder="1" applyAlignment="1">
      <alignment wrapText="1"/>
    </xf>
    <xf numFmtId="164" fontId="13" fillId="0" borderId="2" xfId="1" applyNumberFormat="1" applyFont="1" applyBorder="1" applyAlignment="1">
      <alignment wrapText="1"/>
    </xf>
    <xf numFmtId="9" fontId="13" fillId="0" borderId="2" xfId="5" applyFont="1" applyBorder="1" applyAlignment="1">
      <alignment wrapText="1"/>
    </xf>
    <xf numFmtId="164" fontId="13" fillId="0" borderId="2" xfId="0" applyNumberFormat="1" applyFont="1" applyBorder="1" applyAlignment="1">
      <alignment wrapText="1"/>
    </xf>
    <xf numFmtId="164" fontId="13" fillId="2" borderId="2" xfId="0" applyNumberFormat="1" applyFont="1" applyFill="1" applyBorder="1" applyAlignment="1">
      <alignment wrapText="1"/>
    </xf>
    <xf numFmtId="0" fontId="4" fillId="0" borderId="2" xfId="2" applyBorder="1" applyAlignment="1">
      <alignment wrapText="1"/>
    </xf>
    <xf numFmtId="9" fontId="32" fillId="0" borderId="2" xfId="0" applyNumberFormat="1" applyFont="1" applyBorder="1" applyAlignment="1">
      <alignment wrapText="1"/>
    </xf>
    <xf numFmtId="14" fontId="32" fillId="5" borderId="2" xfId="0" applyNumberFormat="1" applyFont="1" applyFill="1" applyBorder="1"/>
    <xf numFmtId="0" fontId="32" fillId="5" borderId="2" xfId="0" applyFont="1" applyFill="1" applyBorder="1" applyAlignment="1">
      <alignment wrapText="1"/>
    </xf>
    <xf numFmtId="49" fontId="32" fillId="5" borderId="2" xfId="0" applyNumberFormat="1" applyFont="1" applyFill="1" applyBorder="1"/>
    <xf numFmtId="49" fontId="32" fillId="5" borderId="2" xfId="0" applyNumberFormat="1" applyFont="1" applyFill="1" applyBorder="1" applyAlignment="1">
      <alignment wrapText="1"/>
    </xf>
    <xf numFmtId="9" fontId="32" fillId="5" borderId="2" xfId="0" applyNumberFormat="1" applyFont="1" applyFill="1" applyBorder="1"/>
    <xf numFmtId="0" fontId="32" fillId="5" borderId="0" xfId="0" applyFont="1" applyFill="1"/>
    <xf numFmtId="0" fontId="46" fillId="0" borderId="2" xfId="0" applyFont="1" applyBorder="1" applyAlignment="1"/>
    <xf numFmtId="0" fontId="38" fillId="0" borderId="2" xfId="0" quotePrefix="1" applyFont="1" applyBorder="1" applyAlignment="1"/>
    <xf numFmtId="14" fontId="38" fillId="0" borderId="2" xfId="0" applyNumberFormat="1" applyFont="1" applyBorder="1" applyAlignment="1">
      <alignment wrapText="1"/>
    </xf>
    <xf numFmtId="49" fontId="47" fillId="0" borderId="2" xfId="0" applyNumberFormat="1" applyFont="1" applyFill="1" applyBorder="1" applyAlignment="1" applyProtection="1">
      <alignment vertical="center" wrapText="1"/>
    </xf>
    <xf numFmtId="0" fontId="13" fillId="5" borderId="2" xfId="0" applyFont="1" applyFill="1" applyBorder="1" applyAlignment="1">
      <alignment vertical="center"/>
    </xf>
    <xf numFmtId="49" fontId="17" fillId="0" borderId="2" xfId="0" quotePrefix="1" applyNumberFormat="1" applyFont="1" applyBorder="1"/>
    <xf numFmtId="0" fontId="34" fillId="2" borderId="2" xfId="2" applyFont="1" applyFill="1" applyBorder="1" applyAlignment="1">
      <alignment wrapText="1"/>
    </xf>
    <xf numFmtId="164" fontId="17" fillId="5" borderId="4" xfId="1" applyNumberFormat="1" applyFont="1" applyFill="1" applyBorder="1"/>
    <xf numFmtId="0" fontId="13" fillId="7" borderId="2" xfId="0" applyFont="1" applyFill="1" applyBorder="1"/>
    <xf numFmtId="14" fontId="13" fillId="7" borderId="2" xfId="0" applyNumberFormat="1" applyFont="1" applyFill="1" applyBorder="1"/>
    <xf numFmtId="0" fontId="13" fillId="7" borderId="2" xfId="0" applyFont="1" applyFill="1" applyBorder="1" applyAlignment="1">
      <alignment wrapText="1"/>
    </xf>
    <xf numFmtId="49" fontId="13" fillId="7" borderId="2" xfId="0" applyNumberFormat="1" applyFont="1" applyFill="1" applyBorder="1"/>
    <xf numFmtId="164" fontId="13" fillId="7" borderId="2" xfId="1" applyNumberFormat="1" applyFont="1" applyFill="1" applyBorder="1"/>
    <xf numFmtId="9" fontId="13" fillId="7" borderId="2" xfId="0" applyNumberFormat="1" applyFont="1" applyFill="1" applyBorder="1"/>
    <xf numFmtId="0" fontId="13" fillId="7" borderId="0" xfId="0" applyFont="1" applyFill="1"/>
    <xf numFmtId="0" fontId="48" fillId="0" borderId="0" xfId="0" quotePrefix="1" applyFont="1"/>
    <xf numFmtId="0" fontId="32" fillId="2" borderId="2" xfId="0" quotePrefix="1" applyFont="1" applyFill="1" applyBorder="1"/>
    <xf numFmtId="9" fontId="13" fillId="0" borderId="2" xfId="0" applyNumberFormat="1" applyFont="1" applyBorder="1" applyAlignment="1">
      <alignment wrapText="1"/>
    </xf>
    <xf numFmtId="0" fontId="47" fillId="0" borderId="2" xfId="0" applyFont="1" applyFill="1" applyBorder="1" applyAlignment="1" applyProtection="1">
      <alignment vertical="center" wrapText="1"/>
    </xf>
    <xf numFmtId="164" fontId="38" fillId="2" borderId="2" xfId="1" applyNumberFormat="1" applyFont="1" applyFill="1" applyBorder="1" applyAlignment="1"/>
    <xf numFmtId="0" fontId="38" fillId="2" borderId="2" xfId="0" applyFont="1" applyFill="1" applyBorder="1" applyAlignment="1"/>
    <xf numFmtId="0" fontId="32" fillId="0" borderId="2" xfId="0" quotePrefix="1" applyFont="1" applyBorder="1" applyAlignment="1">
      <alignment wrapText="1"/>
    </xf>
    <xf numFmtId="49" fontId="32" fillId="0" borderId="2" xfId="0" applyNumberFormat="1" applyFont="1" applyBorder="1" applyAlignment="1">
      <alignment wrapText="1"/>
    </xf>
    <xf numFmtId="49" fontId="32" fillId="2" borderId="2" xfId="0" quotePrefix="1" applyNumberFormat="1" applyFont="1" applyFill="1" applyBorder="1"/>
    <xf numFmtId="0" fontId="32" fillId="0" borderId="4" xfId="0" applyFont="1" applyBorder="1"/>
    <xf numFmtId="0" fontId="32" fillId="2" borderId="4" xfId="0" applyFont="1" applyFill="1" applyBorder="1"/>
    <xf numFmtId="0" fontId="32" fillId="5" borderId="4" xfId="0" applyFont="1" applyFill="1" applyBorder="1"/>
    <xf numFmtId="0" fontId="43" fillId="5" borderId="2" xfId="0" quotePrefix="1" applyFont="1" applyFill="1" applyBorder="1" applyAlignment="1">
      <alignment vertical="top" wrapText="1"/>
    </xf>
    <xf numFmtId="0" fontId="42" fillId="5" borderId="2" xfId="2" applyFont="1" applyFill="1" applyBorder="1"/>
    <xf numFmtId="0" fontId="17" fillId="5" borderId="2" xfId="0" applyFont="1" applyFill="1" applyBorder="1" applyAlignment="1">
      <alignment wrapText="1"/>
    </xf>
    <xf numFmtId="49" fontId="17" fillId="5" borderId="2" xfId="0" quotePrefix="1" applyNumberFormat="1" applyFont="1" applyFill="1" applyBorder="1"/>
    <xf numFmtId="49" fontId="17" fillId="5" borderId="2" xfId="0" applyNumberFormat="1" applyFont="1" applyFill="1" applyBorder="1"/>
    <xf numFmtId="49" fontId="17" fillId="5" borderId="2" xfId="0" applyNumberFormat="1" applyFont="1" applyFill="1" applyBorder="1" applyAlignment="1">
      <alignment wrapText="1"/>
    </xf>
    <xf numFmtId="9" fontId="17" fillId="5" borderId="2" xfId="0" applyNumberFormat="1" applyFont="1" applyFill="1" applyBorder="1"/>
    <xf numFmtId="9" fontId="32" fillId="2" borderId="2" xfId="0" applyNumberFormat="1" applyFont="1" applyFill="1" applyBorder="1"/>
    <xf numFmtId="14" fontId="32" fillId="2" borderId="2" xfId="0" applyNumberFormat="1" applyFont="1" applyFill="1" applyBorder="1"/>
    <xf numFmtId="14" fontId="8" fillId="5" borderId="2" xfId="0" applyNumberFormat="1" applyFont="1" applyFill="1" applyBorder="1" applyAlignment="1"/>
    <xf numFmtId="0" fontId="8" fillId="5" borderId="2" xfId="0" applyFont="1" applyFill="1" applyBorder="1" applyAlignment="1" applyProtection="1">
      <alignment vertical="center" wrapText="1"/>
    </xf>
    <xf numFmtId="0" fontId="8" fillId="5" borderId="2" xfId="0" quotePrefix="1" applyFont="1" applyFill="1" applyBorder="1" applyAlignment="1">
      <alignment wrapText="1"/>
    </xf>
    <xf numFmtId="0" fontId="8" fillId="5" borderId="2" xfId="0" applyFont="1" applyFill="1" applyBorder="1" applyAlignment="1">
      <alignment wrapText="1"/>
    </xf>
    <xf numFmtId="0" fontId="37" fillId="5" borderId="2" xfId="2" applyFont="1" applyFill="1" applyBorder="1" applyAlignment="1" applyProtection="1">
      <alignment wrapText="1"/>
    </xf>
    <xf numFmtId="49" fontId="8" fillId="5" borderId="2" xfId="0" applyNumberFormat="1" applyFont="1" applyFill="1" applyBorder="1" applyAlignment="1" applyProtection="1">
      <alignment vertical="center" wrapText="1"/>
    </xf>
    <xf numFmtId="0" fontId="36" fillId="5" borderId="2" xfId="2" applyFont="1" applyFill="1" applyBorder="1" applyAlignment="1" applyProtection="1">
      <alignment vertical="center" wrapText="1"/>
    </xf>
    <xf numFmtId="9" fontId="8" fillId="5" borderId="2" xfId="0" applyNumberFormat="1" applyFont="1" applyFill="1" applyBorder="1" applyAlignment="1"/>
    <xf numFmtId="165" fontId="13" fillId="5" borderId="2" xfId="0" applyNumberFormat="1" applyFont="1" applyFill="1" applyBorder="1" applyAlignment="1"/>
    <xf numFmtId="9" fontId="38" fillId="5" borderId="2" xfId="0" applyNumberFormat="1" applyFont="1" applyFill="1" applyBorder="1" applyAlignment="1"/>
    <xf numFmtId="164" fontId="38" fillId="5" borderId="2" xfId="1" applyNumberFormat="1" applyFont="1" applyFill="1" applyBorder="1" applyAlignment="1"/>
    <xf numFmtId="0" fontId="46" fillId="5" borderId="2" xfId="0" applyFont="1" applyFill="1" applyBorder="1" applyAlignment="1"/>
    <xf numFmtId="14" fontId="38" fillId="5" borderId="2" xfId="0" applyNumberFormat="1" applyFont="1" applyFill="1" applyBorder="1" applyAlignment="1"/>
    <xf numFmtId="0" fontId="38" fillId="5" borderId="2" xfId="0" applyFont="1" applyFill="1" applyBorder="1" applyAlignment="1">
      <alignment wrapText="1"/>
    </xf>
    <xf numFmtId="0" fontId="38" fillId="5" borderId="2" xfId="0" quotePrefix="1" applyFont="1" applyFill="1" applyBorder="1" applyAlignment="1"/>
    <xf numFmtId="14" fontId="38" fillId="5" borderId="2" xfId="0" applyNumberFormat="1" applyFont="1" applyFill="1" applyBorder="1" applyAlignment="1">
      <alignment wrapText="1"/>
    </xf>
    <xf numFmtId="49" fontId="47" fillId="5" borderId="2" xfId="0" applyNumberFormat="1" applyFont="1" applyFill="1" applyBorder="1" applyAlignment="1" applyProtection="1">
      <alignment vertical="center" wrapText="1"/>
    </xf>
    <xf numFmtId="0" fontId="47" fillId="5" borderId="2" xfId="0" applyFont="1" applyFill="1" applyBorder="1" applyAlignment="1" applyProtection="1">
      <alignment vertical="center" wrapText="1"/>
    </xf>
    <xf numFmtId="164" fontId="17" fillId="5" borderId="2" xfId="1" applyNumberFormat="1" applyFont="1" applyFill="1" applyBorder="1" applyAlignment="1">
      <alignment wrapText="1"/>
    </xf>
    <xf numFmtId="9" fontId="32" fillId="5" borderId="2" xfId="0" applyNumberFormat="1" applyFont="1" applyFill="1" applyBorder="1" applyAlignment="1">
      <alignment wrapText="1"/>
    </xf>
    <xf numFmtId="164" fontId="32" fillId="5" borderId="2" xfId="0" applyNumberFormat="1" applyFont="1" applyFill="1" applyBorder="1" applyAlignment="1">
      <alignment wrapText="1"/>
    </xf>
    <xf numFmtId="0" fontId="32" fillId="5" borderId="2" xfId="0" applyFont="1" applyFill="1" applyBorder="1" applyAlignment="1">
      <alignment horizontal="center"/>
    </xf>
    <xf numFmtId="0" fontId="32" fillId="5" borderId="2" xfId="0" quotePrefix="1" applyFont="1" applyFill="1" applyBorder="1"/>
    <xf numFmtId="0" fontId="32" fillId="5" borderId="2" xfId="0" applyFont="1" applyFill="1" applyBorder="1" applyAlignment="1">
      <alignment vertical="center" wrapText="1"/>
    </xf>
    <xf numFmtId="164" fontId="32" fillId="5" borderId="2" xfId="1" applyNumberFormat="1" applyFont="1" applyFill="1" applyBorder="1" applyAlignment="1">
      <alignment wrapText="1"/>
    </xf>
    <xf numFmtId="49" fontId="13" fillId="0" borderId="4" xfId="0" quotePrefix="1" applyNumberFormat="1" applyFont="1" applyBorder="1"/>
    <xf numFmtId="14" fontId="32" fillId="0" borderId="4" xfId="0" applyNumberFormat="1" applyFont="1" applyBorder="1"/>
    <xf numFmtId="0" fontId="32" fillId="0" borderId="4" xfId="0" applyFont="1" applyBorder="1" applyAlignment="1">
      <alignment wrapText="1"/>
    </xf>
    <xf numFmtId="49" fontId="32" fillId="0" borderId="4" xfId="0" applyNumberFormat="1" applyFont="1" applyBorder="1"/>
    <xf numFmtId="164" fontId="32" fillId="0" borderId="4" xfId="1" applyNumberFormat="1" applyFont="1" applyBorder="1"/>
    <xf numFmtId="49" fontId="32" fillId="2" borderId="4" xfId="0" applyNumberFormat="1" applyFont="1" applyFill="1" applyBorder="1" applyAlignment="1">
      <alignment wrapText="1"/>
    </xf>
    <xf numFmtId="164" fontId="32" fillId="2" borderId="4" xfId="1" applyNumberFormat="1" applyFont="1" applyFill="1" applyBorder="1"/>
    <xf numFmtId="14" fontId="32" fillId="0" borderId="0" xfId="0" applyNumberFormat="1" applyFont="1"/>
    <xf numFmtId="49" fontId="32" fillId="0" borderId="9" xfId="0" applyNumberFormat="1" applyFont="1" applyBorder="1"/>
    <xf numFmtId="0" fontId="32" fillId="2" borderId="9" xfId="0" applyFont="1" applyFill="1" applyBorder="1"/>
    <xf numFmtId="0" fontId="32" fillId="0" borderId="9" xfId="0" applyFont="1" applyBorder="1" applyAlignment="1">
      <alignment wrapText="1"/>
    </xf>
    <xf numFmtId="0" fontId="32" fillId="0" borderId="9" xfId="0" applyFont="1" applyBorder="1"/>
    <xf numFmtId="164" fontId="32" fillId="0" borderId="9" xfId="1" applyNumberFormat="1" applyFont="1" applyBorder="1"/>
    <xf numFmtId="49" fontId="32" fillId="2" borderId="9" xfId="0" applyNumberFormat="1" applyFont="1" applyFill="1" applyBorder="1" applyAlignment="1">
      <alignment wrapText="1"/>
    </xf>
    <xf numFmtId="9" fontId="32" fillId="0" borderId="4" xfId="0" applyNumberFormat="1" applyFont="1" applyBorder="1"/>
    <xf numFmtId="9" fontId="32" fillId="0" borderId="9" xfId="0" applyNumberFormat="1" applyFont="1" applyBorder="1"/>
    <xf numFmtId="49" fontId="17" fillId="2" borderId="2" xfId="0" applyNumberFormat="1" applyFont="1" applyFill="1" applyBorder="1" applyAlignment="1">
      <alignment wrapText="1"/>
    </xf>
    <xf numFmtId="0" fontId="5" fillId="0" borderId="2" xfId="0" quotePrefix="1" applyFont="1" applyBorder="1" applyAlignment="1"/>
    <xf numFmtId="49" fontId="49" fillId="0" borderId="2" xfId="0" applyNumberFormat="1" applyFont="1" applyFill="1" applyBorder="1" applyAlignment="1" applyProtection="1">
      <alignment vertical="center" wrapText="1"/>
    </xf>
    <xf numFmtId="0" fontId="34" fillId="0" borderId="2" xfId="2" applyFont="1" applyFill="1" applyBorder="1" applyAlignment="1" applyProtection="1">
      <alignment vertical="center" wrapText="1"/>
    </xf>
    <xf numFmtId="164" fontId="5" fillId="2" borderId="2" xfId="1" applyNumberFormat="1" applyFont="1" applyFill="1" applyBorder="1" applyAlignment="1"/>
    <xf numFmtId="0" fontId="5" fillId="2" borderId="2" xfId="0" applyFont="1" applyFill="1" applyBorder="1" applyAlignment="1"/>
    <xf numFmtId="49" fontId="17" fillId="2" borderId="2" xfId="0" quotePrefix="1" applyNumberFormat="1" applyFont="1" applyFill="1" applyBorder="1"/>
    <xf numFmtId="0" fontId="49" fillId="0" borderId="2" xfId="0" applyFont="1" applyFill="1" applyBorder="1" applyAlignment="1" applyProtection="1">
      <alignment vertical="center" wrapText="1"/>
    </xf>
    <xf numFmtId="0" fontId="13" fillId="0" borderId="2" xfId="0" quotePrefix="1" applyFont="1" applyBorder="1" applyAlignment="1">
      <alignment vertical="center" wrapText="1"/>
    </xf>
    <xf numFmtId="0" fontId="5" fillId="2" borderId="2" xfId="0" applyFont="1" applyFill="1" applyBorder="1" applyAlignment="1" applyProtection="1">
      <alignment vertical="center" wrapText="1"/>
    </xf>
    <xf numFmtId="0" fontId="5" fillId="2" borderId="2" xfId="0" quotePrefix="1" applyFont="1" applyFill="1" applyBorder="1" applyAlignment="1">
      <alignment wrapText="1"/>
    </xf>
    <xf numFmtId="0" fontId="50" fillId="0" borderId="2" xfId="2" applyFont="1" applyBorder="1" applyAlignment="1" applyProtection="1">
      <alignment wrapText="1"/>
    </xf>
    <xf numFmtId="49" fontId="5" fillId="0" borderId="2" xfId="0" applyNumberFormat="1" applyFont="1" applyFill="1" applyBorder="1" applyAlignment="1" applyProtection="1">
      <alignment vertical="center" wrapText="1"/>
    </xf>
    <xf numFmtId="49" fontId="49" fillId="0" borderId="2" xfId="0" quotePrefix="1" applyNumberFormat="1" applyFont="1" applyFill="1" applyBorder="1" applyAlignment="1" applyProtection="1">
      <alignment vertical="center" wrapText="1"/>
    </xf>
    <xf numFmtId="0" fontId="13" fillId="2" borderId="0" xfId="0" applyFont="1" applyFill="1" applyBorder="1" applyAlignment="1">
      <alignment wrapText="1"/>
    </xf>
    <xf numFmtId="0" fontId="13" fillId="5" borderId="0" xfId="0" applyFont="1" applyFill="1" applyBorder="1" applyAlignment="1">
      <alignment wrapText="1"/>
    </xf>
    <xf numFmtId="0" fontId="13" fillId="0" borderId="0" xfId="0" applyFont="1" applyBorder="1" applyAlignment="1">
      <alignment wrapText="1"/>
    </xf>
    <xf numFmtId="0" fontId="32" fillId="0" borderId="0" xfId="0" applyFont="1" applyBorder="1" applyAlignment="1">
      <alignment wrapText="1"/>
    </xf>
    <xf numFmtId="0" fontId="13" fillId="0" borderId="0" xfId="0" applyFont="1" applyBorder="1" applyAlignment="1">
      <alignment vertical="top" wrapText="1"/>
    </xf>
    <xf numFmtId="0" fontId="51" fillId="0" borderId="0" xfId="0" quotePrefix="1" applyFont="1"/>
    <xf numFmtId="164" fontId="13" fillId="5" borderId="4" xfId="0" applyNumberFormat="1" applyFont="1" applyFill="1" applyBorder="1"/>
    <xf numFmtId="164" fontId="32" fillId="5" borderId="0" xfId="0" applyNumberFormat="1" applyFont="1" applyFill="1"/>
    <xf numFmtId="0" fontId="17" fillId="2" borderId="4" xfId="0" applyFont="1" applyFill="1" applyBorder="1"/>
    <xf numFmtId="164" fontId="17" fillId="2" borderId="4" xfId="1" applyNumberFormat="1" applyFont="1" applyFill="1" applyBorder="1"/>
    <xf numFmtId="0" fontId="17" fillId="5" borderId="4" xfId="0" applyFont="1" applyFill="1" applyBorder="1"/>
    <xf numFmtId="3" fontId="13" fillId="2" borderId="0" xfId="0" applyNumberFormat="1" applyFont="1" applyFill="1"/>
    <xf numFmtId="3" fontId="20" fillId="3" borderId="2" xfId="0" applyNumberFormat="1" applyFont="1" applyFill="1" applyBorder="1" applyAlignment="1">
      <alignment horizontal="center" vertical="center"/>
    </xf>
    <xf numFmtId="3" fontId="13" fillId="0" borderId="6" xfId="0" applyNumberFormat="1" applyFont="1" applyBorder="1" applyAlignment="1"/>
    <xf numFmtId="3" fontId="17" fillId="2" borderId="2" xfId="0" applyNumberFormat="1" applyFont="1" applyFill="1" applyBorder="1"/>
    <xf numFmtId="3" fontId="13" fillId="0" borderId="4" xfId="0" applyNumberFormat="1" applyFont="1" applyBorder="1"/>
    <xf numFmtId="3" fontId="32" fillId="0" borderId="2" xfId="0" applyNumberFormat="1" applyFont="1" applyBorder="1"/>
    <xf numFmtId="3" fontId="32" fillId="6" borderId="2" xfId="0" applyNumberFormat="1" applyFont="1" applyFill="1" applyBorder="1"/>
    <xf numFmtId="3" fontId="13" fillId="0" borderId="0" xfId="0" applyNumberFormat="1" applyFont="1"/>
    <xf numFmtId="0" fontId="13" fillId="8" borderId="2" xfId="0" applyFont="1" applyFill="1" applyBorder="1"/>
    <xf numFmtId="14" fontId="13" fillId="8" borderId="2" xfId="0" applyNumberFormat="1" applyFont="1" applyFill="1" applyBorder="1"/>
    <xf numFmtId="0" fontId="13" fillId="8" borderId="2" xfId="0" applyFont="1" applyFill="1" applyBorder="1" applyAlignment="1">
      <alignment vertical="top" wrapText="1"/>
    </xf>
    <xf numFmtId="49" fontId="13" fillId="8" borderId="2" xfId="0" applyNumberFormat="1" applyFont="1" applyFill="1" applyBorder="1"/>
    <xf numFmtId="0" fontId="13" fillId="8" borderId="2" xfId="0" applyFont="1" applyFill="1" applyBorder="1" applyAlignment="1">
      <alignment wrapText="1"/>
    </xf>
    <xf numFmtId="164" fontId="13" fillId="8" borderId="2" xfId="1" applyNumberFormat="1" applyFont="1" applyFill="1" applyBorder="1"/>
    <xf numFmtId="9" fontId="13" fillId="8" borderId="2" xfId="0" applyNumberFormat="1" applyFont="1" applyFill="1" applyBorder="1"/>
    <xf numFmtId="3" fontId="13" fillId="8" borderId="2" xfId="0" applyNumberFormat="1" applyFont="1" applyFill="1" applyBorder="1"/>
    <xf numFmtId="0" fontId="13" fillId="8" borderId="0" xfId="0" applyFont="1" applyFill="1"/>
    <xf numFmtId="164" fontId="13" fillId="2" borderId="4" xfId="0" applyNumberFormat="1" applyFont="1" applyFill="1" applyBorder="1"/>
    <xf numFmtId="164" fontId="32" fillId="0" borderId="2" xfId="0" applyNumberFormat="1" applyFont="1" applyBorder="1"/>
    <xf numFmtId="3" fontId="17" fillId="5" borderId="0" xfId="0" applyNumberFormat="1" applyFont="1" applyFill="1"/>
    <xf numFmtId="3" fontId="24" fillId="5" borderId="2" xfId="1" applyNumberFormat="1" applyFont="1" applyFill="1" applyBorder="1" applyAlignment="1">
      <alignment horizontal="center" vertical="center"/>
    </xf>
    <xf numFmtId="3" fontId="32" fillId="5" borderId="2" xfId="0" applyNumberFormat="1" applyFont="1" applyFill="1" applyBorder="1"/>
    <xf numFmtId="3" fontId="13" fillId="5" borderId="4" xfId="0" applyNumberFormat="1" applyFont="1" applyFill="1" applyBorder="1"/>
    <xf numFmtId="3" fontId="32" fillId="2" borderId="2" xfId="0" applyNumberFormat="1" applyFont="1" applyFill="1" applyBorder="1"/>
    <xf numFmtId="3" fontId="32" fillId="5" borderId="4" xfId="0" applyNumberFormat="1" applyFont="1" applyFill="1" applyBorder="1"/>
    <xf numFmtId="3" fontId="32" fillId="5" borderId="9" xfId="0" applyNumberFormat="1" applyFont="1" applyFill="1" applyBorder="1"/>
    <xf numFmtId="3" fontId="13" fillId="5" borderId="0" xfId="0" applyNumberFormat="1" applyFont="1" applyFill="1"/>
    <xf numFmtId="3" fontId="24" fillId="5" borderId="2" xfId="0" applyNumberFormat="1" applyFont="1" applyFill="1" applyBorder="1" applyAlignment="1">
      <alignment horizontal="center" vertical="center" wrapText="1"/>
    </xf>
    <xf numFmtId="3" fontId="8" fillId="5" borderId="2" xfId="0" applyNumberFormat="1" applyFont="1" applyFill="1" applyBorder="1" applyAlignment="1"/>
    <xf numFmtId="3" fontId="38" fillId="5" borderId="2" xfId="0" applyNumberFormat="1" applyFont="1" applyFill="1" applyBorder="1" applyAlignment="1"/>
    <xf numFmtId="3" fontId="8" fillId="5" borderId="4" xfId="0" applyNumberFormat="1" applyFont="1" applyFill="1" applyBorder="1" applyAlignment="1"/>
    <xf numFmtId="3" fontId="17" fillId="5" borderId="6" xfId="0" applyNumberFormat="1" applyFont="1" applyFill="1" applyBorder="1"/>
    <xf numFmtId="3" fontId="8" fillId="5" borderId="0" xfId="0" applyNumberFormat="1" applyFont="1" applyFill="1" applyAlignment="1"/>
    <xf numFmtId="3" fontId="8" fillId="2" borderId="0" xfId="0" applyNumberFormat="1" applyFont="1" applyFill="1" applyAlignment="1"/>
    <xf numFmtId="3" fontId="38" fillId="5" borderId="0" xfId="0" applyNumberFormat="1" applyFont="1" applyFill="1" applyAlignment="1"/>
    <xf numFmtId="3" fontId="8" fillId="2" borderId="2" xfId="0" applyNumberFormat="1" applyFont="1" applyFill="1" applyBorder="1" applyAlignment="1"/>
    <xf numFmtId="3" fontId="5" fillId="5" borderId="2" xfId="0" applyNumberFormat="1" applyFont="1" applyFill="1" applyBorder="1" applyAlignment="1"/>
    <xf numFmtId="3" fontId="8" fillId="7" borderId="2" xfId="0" applyNumberFormat="1" applyFont="1" applyFill="1" applyBorder="1" applyAlignment="1"/>
    <xf numFmtId="0" fontId="42" fillId="0" borderId="2" xfId="2" applyFont="1" applyBorder="1"/>
    <xf numFmtId="0" fontId="52" fillId="0" borderId="0" xfId="0" applyFont="1"/>
    <xf numFmtId="164" fontId="32" fillId="0" borderId="0" xfId="0" applyNumberFormat="1" applyFont="1"/>
    <xf numFmtId="0" fontId="13" fillId="2" borderId="6" xfId="0" quotePrefix="1" applyFont="1" applyFill="1" applyBorder="1" applyAlignment="1">
      <alignment wrapText="1"/>
    </xf>
    <xf numFmtId="166" fontId="13" fillId="5" borderId="2" xfId="0" applyNumberFormat="1" applyFont="1" applyFill="1" applyBorder="1"/>
    <xf numFmtId="164" fontId="32" fillId="2" borderId="4" xfId="0" applyNumberFormat="1" applyFont="1" applyFill="1" applyBorder="1"/>
    <xf numFmtId="0" fontId="0" fillId="0" borderId="10" xfId="0" applyFont="1" applyBorder="1" applyAlignment="1"/>
    <xf numFmtId="0" fontId="0" fillId="0" borderId="10" xfId="0" applyFont="1" applyBorder="1" applyAlignment="1">
      <alignment wrapText="1"/>
    </xf>
    <xf numFmtId="0" fontId="43" fillId="0" borderId="10" xfId="0" applyFont="1" applyBorder="1" applyAlignment="1">
      <alignment wrapText="1"/>
    </xf>
    <xf numFmtId="0" fontId="43" fillId="0" borderId="10" xfId="0" applyFont="1" applyBorder="1" applyAlignment="1"/>
    <xf numFmtId="0" fontId="35" fillId="0" borderId="10" xfId="0" applyFont="1" applyBorder="1" applyAlignment="1">
      <alignment wrapText="1"/>
    </xf>
    <xf numFmtId="0" fontId="35" fillId="0" borderId="10" xfId="0" applyFont="1" applyBorder="1" applyAlignment="1"/>
    <xf numFmtId="1" fontId="0" fillId="0" borderId="10" xfId="0" applyNumberFormat="1" applyFont="1" applyBorder="1" applyAlignment="1"/>
    <xf numFmtId="0" fontId="43" fillId="0" borderId="10" xfId="0" quotePrefix="1" applyFont="1" applyBorder="1" applyAlignment="1"/>
    <xf numFmtId="0" fontId="0" fillId="0" borderId="10" xfId="0" quotePrefix="1" applyFont="1" applyBorder="1" applyAlignment="1"/>
    <xf numFmtId="0" fontId="35" fillId="0" borderId="10" xfId="0" quotePrefix="1" applyFont="1" applyBorder="1" applyAlignment="1"/>
    <xf numFmtId="49" fontId="42" fillId="0" borderId="2" xfId="2" applyNumberFormat="1" applyFont="1" applyBorder="1"/>
    <xf numFmtId="0" fontId="32" fillId="7" borderId="2" xfId="0" applyFont="1" applyFill="1" applyBorder="1"/>
    <xf numFmtId="14" fontId="32" fillId="7" borderId="2" xfId="0" applyNumberFormat="1" applyFont="1" applyFill="1" applyBorder="1"/>
    <xf numFmtId="0" fontId="32" fillId="7" borderId="2" xfId="0" applyFont="1" applyFill="1" applyBorder="1" applyAlignment="1">
      <alignment vertical="top" wrapText="1"/>
    </xf>
    <xf numFmtId="49" fontId="32" fillId="7" borderId="2" xfId="0" applyNumberFormat="1" applyFont="1" applyFill="1" applyBorder="1"/>
    <xf numFmtId="0" fontId="32" fillId="7" borderId="2" xfId="0" applyFont="1" applyFill="1" applyBorder="1" applyAlignment="1">
      <alignment wrapText="1"/>
    </xf>
    <xf numFmtId="164" fontId="32" fillId="7" borderId="2" xfId="1" applyNumberFormat="1" applyFont="1" applyFill="1" applyBorder="1"/>
    <xf numFmtId="9" fontId="32" fillId="7" borderId="2" xfId="0" applyNumberFormat="1" applyFont="1" applyFill="1" applyBorder="1"/>
    <xf numFmtId="3" fontId="32" fillId="7" borderId="2" xfId="0" applyNumberFormat="1" applyFont="1" applyFill="1" applyBorder="1"/>
    <xf numFmtId="0" fontId="32" fillId="7" borderId="0" xfId="0" applyFont="1" applyFill="1"/>
    <xf numFmtId="0" fontId="32" fillId="5" borderId="2" xfId="0" applyFont="1" applyFill="1" applyBorder="1" applyAlignment="1">
      <alignment vertical="top" wrapText="1"/>
    </xf>
    <xf numFmtId="0" fontId="43" fillId="5" borderId="10" xfId="0" applyFont="1" applyFill="1" applyBorder="1" applyAlignment="1"/>
    <xf numFmtId="0" fontId="42" fillId="0" borderId="2" xfId="2" applyFont="1" applyBorder="1" applyAlignment="1">
      <alignment vertical="top" wrapText="1"/>
    </xf>
    <xf numFmtId="0" fontId="32" fillId="0" borderId="2" xfId="0" applyFont="1" applyBorder="1" applyAlignment="1">
      <alignment vertical="top"/>
    </xf>
    <xf numFmtId="14" fontId="32" fillId="0" borderId="2" xfId="0" applyNumberFormat="1" applyFont="1" applyBorder="1" applyAlignment="1">
      <alignment vertical="top"/>
    </xf>
    <xf numFmtId="49" fontId="32" fillId="0" borderId="2" xfId="0" applyNumberFormat="1" applyFont="1" applyBorder="1" applyAlignment="1">
      <alignment vertical="top"/>
    </xf>
    <xf numFmtId="0" fontId="32" fillId="2" borderId="2" xfId="0" applyFont="1" applyFill="1" applyBorder="1" applyAlignment="1">
      <alignment vertical="top" wrapText="1"/>
    </xf>
    <xf numFmtId="0" fontId="32" fillId="2" borderId="2" xfId="0" applyFont="1" applyFill="1" applyBorder="1" applyAlignment="1">
      <alignment vertical="top"/>
    </xf>
    <xf numFmtId="164" fontId="32" fillId="5" borderId="2" xfId="1" applyNumberFormat="1" applyFont="1" applyFill="1" applyBorder="1" applyAlignment="1">
      <alignment vertical="top"/>
    </xf>
    <xf numFmtId="9" fontId="32" fillId="0" borderId="2" xfId="0" applyNumberFormat="1" applyFont="1" applyBorder="1" applyAlignment="1">
      <alignment vertical="top"/>
    </xf>
    <xf numFmtId="3" fontId="32" fillId="0" borderId="2" xfId="0" applyNumberFormat="1" applyFont="1" applyBorder="1" applyAlignment="1">
      <alignment vertical="top"/>
    </xf>
    <xf numFmtId="0" fontId="32" fillId="5" borderId="2" xfId="0" applyFont="1" applyFill="1" applyBorder="1" applyAlignment="1">
      <alignment vertical="top"/>
    </xf>
    <xf numFmtId="0" fontId="32" fillId="0" borderId="0" xfId="0" applyFont="1" applyAlignment="1">
      <alignment vertical="top"/>
    </xf>
    <xf numFmtId="14" fontId="32" fillId="5" borderId="2" xfId="0" applyNumberFormat="1" applyFont="1" applyFill="1" applyBorder="1" applyAlignment="1">
      <alignment vertical="top"/>
    </xf>
    <xf numFmtId="0" fontId="32" fillId="0" borderId="2" xfId="0" applyFont="1" applyBorder="1" applyAlignment="1">
      <alignment horizontal="left" vertical="top"/>
    </xf>
    <xf numFmtId="164" fontId="32" fillId="5" borderId="2" xfId="1" applyNumberFormat="1" applyFont="1" applyFill="1" applyBorder="1" applyAlignment="1">
      <alignment horizontal="left" vertical="top"/>
    </xf>
    <xf numFmtId="0" fontId="32" fillId="5" borderId="2" xfId="0" applyFont="1" applyFill="1" applyBorder="1" applyAlignment="1">
      <alignment horizontal="left" vertical="top"/>
    </xf>
    <xf numFmtId="14" fontId="32" fillId="0" borderId="2" xfId="0" applyNumberFormat="1" applyFont="1" applyBorder="1" applyAlignment="1">
      <alignment horizontal="left" vertical="top"/>
    </xf>
    <xf numFmtId="0" fontId="32" fillId="0" borderId="2" xfId="0" applyFont="1" applyBorder="1" applyAlignment="1">
      <alignment horizontal="left" vertical="top" wrapText="1"/>
    </xf>
    <xf numFmtId="49" fontId="32" fillId="0" borderId="2" xfId="0" applyNumberFormat="1" applyFont="1" applyBorder="1" applyAlignment="1">
      <alignment horizontal="left" vertical="top"/>
    </xf>
    <xf numFmtId="0" fontId="32" fillId="2" borderId="2" xfId="0" applyFont="1" applyFill="1" applyBorder="1" applyAlignment="1">
      <alignment horizontal="left" vertical="top" wrapText="1"/>
    </xf>
    <xf numFmtId="0" fontId="32" fillId="2" borderId="2" xfId="0" applyFont="1" applyFill="1" applyBorder="1" applyAlignment="1">
      <alignment horizontal="left" vertical="top"/>
    </xf>
    <xf numFmtId="164" fontId="32" fillId="5" borderId="4" xfId="1" applyNumberFormat="1" applyFont="1" applyFill="1" applyBorder="1" applyAlignment="1">
      <alignment vertical="top"/>
    </xf>
    <xf numFmtId="3" fontId="32" fillId="0" borderId="2" xfId="0" applyNumberFormat="1" applyFont="1" applyBorder="1" applyAlignment="1">
      <alignment horizontal="left" vertical="top"/>
    </xf>
    <xf numFmtId="0" fontId="32" fillId="0" borderId="0" xfId="0" applyFont="1" applyAlignment="1">
      <alignment horizontal="left" vertical="top"/>
    </xf>
    <xf numFmtId="9" fontId="32" fillId="0" borderId="2" xfId="0" applyNumberFormat="1" applyFont="1" applyBorder="1" applyAlignment="1">
      <alignment horizontal="left" vertical="top"/>
    </xf>
    <xf numFmtId="14" fontId="32" fillId="0" borderId="2" xfId="0" applyNumberFormat="1" applyFont="1" applyBorder="1" applyAlignment="1">
      <alignment wrapText="1"/>
    </xf>
    <xf numFmtId="0" fontId="0" fillId="5" borderId="10" xfId="0" applyFont="1" applyFill="1" applyBorder="1" applyAlignment="1">
      <alignment wrapText="1"/>
    </xf>
    <xf numFmtId="0" fontId="0" fillId="5" borderId="10" xfId="0" quotePrefix="1" applyFont="1" applyFill="1" applyBorder="1" applyAlignment="1"/>
    <xf numFmtId="0" fontId="0" fillId="5" borderId="10" xfId="0" applyFont="1" applyFill="1" applyBorder="1" applyAlignment="1"/>
    <xf numFmtId="0" fontId="43" fillId="2" borderId="10" xfId="0" applyFont="1" applyFill="1" applyBorder="1" applyAlignment="1"/>
    <xf numFmtId="0" fontId="43" fillId="2" borderId="10" xfId="0" applyFont="1" applyFill="1" applyBorder="1" applyAlignment="1">
      <alignment wrapText="1"/>
    </xf>
    <xf numFmtId="0" fontId="13" fillId="0" borderId="0" xfId="0" applyFont="1" applyBorder="1"/>
    <xf numFmtId="0" fontId="32" fillId="5" borderId="0" xfId="0" applyFont="1" applyFill="1" applyBorder="1"/>
    <xf numFmtId="0" fontId="13" fillId="2" borderId="2" xfId="0" applyFont="1" applyFill="1" applyBorder="1" applyAlignment="1">
      <alignment vertical="top"/>
    </xf>
    <xf numFmtId="0" fontId="13" fillId="0" borderId="2" xfId="0" applyFont="1" applyBorder="1" applyAlignment="1">
      <alignment vertical="top"/>
    </xf>
    <xf numFmtId="164" fontId="13" fillId="5" borderId="4" xfId="1" applyNumberFormat="1" applyFont="1" applyFill="1" applyBorder="1" applyAlignment="1">
      <alignment vertical="top"/>
    </xf>
    <xf numFmtId="14" fontId="13" fillId="0" borderId="2" xfId="0" applyNumberFormat="1" applyFont="1" applyBorder="1" applyAlignment="1">
      <alignment vertical="top"/>
    </xf>
    <xf numFmtId="0" fontId="32" fillId="0" borderId="2" xfId="0" applyFont="1" applyBorder="1" applyAlignment="1"/>
    <xf numFmtId="0" fontId="32" fillId="2" borderId="2" xfId="0" applyFont="1" applyFill="1" applyBorder="1" applyAlignment="1"/>
    <xf numFmtId="164" fontId="32" fillId="5" borderId="4" xfId="1" applyNumberFormat="1" applyFont="1" applyFill="1" applyBorder="1" applyAlignment="1"/>
    <xf numFmtId="14" fontId="32" fillId="0" borderId="2" xfId="0" applyNumberFormat="1" applyFont="1" applyBorder="1" applyAlignment="1"/>
    <xf numFmtId="164" fontId="32" fillId="5" borderId="2" xfId="1" applyNumberFormat="1" applyFont="1" applyFill="1" applyBorder="1" applyAlignment="1"/>
    <xf numFmtId="0" fontId="32" fillId="5" borderId="2" xfId="0" applyFont="1" applyFill="1" applyBorder="1" applyAlignment="1"/>
    <xf numFmtId="9" fontId="32" fillId="0" borderId="2" xfId="0" applyNumberFormat="1" applyFont="1" applyBorder="1" applyAlignment="1"/>
    <xf numFmtId="0" fontId="35" fillId="5" borderId="10" xfId="0" applyFont="1" applyFill="1" applyBorder="1" applyAlignment="1"/>
    <xf numFmtId="0" fontId="43" fillId="5" borderId="3" xfId="0" applyFont="1" applyFill="1" applyBorder="1" applyAlignment="1"/>
    <xf numFmtId="164" fontId="32" fillId="5" borderId="4" xfId="0" applyNumberFormat="1" applyFont="1" applyFill="1" applyBorder="1"/>
    <xf numFmtId="3" fontId="32" fillId="2" borderId="4" xfId="0" applyNumberFormat="1" applyFont="1" applyFill="1" applyBorder="1"/>
    <xf numFmtId="0" fontId="35" fillId="5" borderId="3" xfId="0" applyFont="1" applyFill="1" applyBorder="1" applyAlignment="1"/>
    <xf numFmtId="0" fontId="38" fillId="0" borderId="2" xfId="0" applyFont="1" applyFill="1" applyBorder="1" applyAlignment="1" applyProtection="1">
      <alignment horizontal="center" vertical="center" wrapText="1"/>
    </xf>
    <xf numFmtId="0" fontId="13" fillId="2" borderId="2" xfId="0" applyFont="1" applyFill="1" applyBorder="1" applyAlignment="1">
      <alignment horizontal="center"/>
    </xf>
    <xf numFmtId="0" fontId="13" fillId="2" borderId="2" xfId="0" applyFont="1" applyFill="1" applyBorder="1" applyAlignment="1" applyProtection="1">
      <alignment horizontal="center" vertical="center" wrapText="1"/>
    </xf>
    <xf numFmtId="0" fontId="32" fillId="2" borderId="2" xfId="0" applyFont="1" applyFill="1" applyBorder="1" applyAlignment="1">
      <alignment horizontal="center"/>
    </xf>
    <xf numFmtId="0" fontId="32" fillId="5" borderId="2" xfId="0" applyFont="1" applyFill="1" applyBorder="1" applyAlignment="1" applyProtection="1">
      <alignment horizontal="center" vertical="center" wrapText="1"/>
    </xf>
    <xf numFmtId="0" fontId="38" fillId="2" borderId="2" xfId="0" applyFont="1" applyFill="1" applyBorder="1" applyAlignment="1" applyProtection="1">
      <alignment horizontal="center" vertical="center" wrapText="1"/>
    </xf>
    <xf numFmtId="0" fontId="13" fillId="2" borderId="2" xfId="0" applyFont="1" applyFill="1" applyBorder="1" applyAlignment="1"/>
    <xf numFmtId="164" fontId="13" fillId="5" borderId="4" xfId="1" applyNumberFormat="1" applyFont="1" applyFill="1" applyBorder="1" applyAlignment="1"/>
    <xf numFmtId="14" fontId="13" fillId="0" borderId="2" xfId="0" applyNumberFormat="1" applyFont="1" applyBorder="1" applyAlignment="1"/>
    <xf numFmtId="9" fontId="13" fillId="0" borderId="2" xfId="0" applyNumberFormat="1" applyFont="1" applyBorder="1" applyAlignment="1"/>
    <xf numFmtId="49" fontId="13" fillId="0" borderId="2" xfId="0" applyNumberFormat="1" applyFont="1" applyBorder="1" applyAlignment="1"/>
    <xf numFmtId="3" fontId="13" fillId="0" borderId="2" xfId="0" applyNumberFormat="1" applyFont="1" applyBorder="1" applyAlignment="1"/>
    <xf numFmtId="0" fontId="13" fillId="5" borderId="2" xfId="0" applyFont="1" applyFill="1" applyBorder="1" applyAlignment="1"/>
    <xf numFmtId="0" fontId="13" fillId="0" borderId="0" xfId="0" applyFont="1" applyAlignment="1"/>
    <xf numFmtId="0" fontId="36" fillId="0" borderId="2" xfId="2" applyFont="1" applyBorder="1" applyAlignment="1"/>
    <xf numFmtId="164" fontId="13" fillId="5" borderId="2" xfId="1" applyNumberFormat="1" applyFont="1" applyFill="1" applyBorder="1" applyAlignment="1"/>
    <xf numFmtId="0" fontId="8" fillId="5" borderId="2" xfId="0" applyFont="1" applyFill="1" applyBorder="1" applyAlignment="1" applyProtection="1">
      <alignment horizontal="center" vertical="center" wrapText="1"/>
    </xf>
    <xf numFmtId="0" fontId="8" fillId="2" borderId="2" xfId="0" applyFont="1" applyFill="1" applyBorder="1" applyAlignment="1" applyProtection="1">
      <alignment horizontal="center" vertical="center" wrapText="1"/>
    </xf>
    <xf numFmtId="0" fontId="17" fillId="5" borderId="2" xfId="0" applyFont="1" applyFill="1" applyBorder="1" applyAlignment="1">
      <alignment horizontal="center"/>
    </xf>
    <xf numFmtId="0" fontId="17" fillId="3" borderId="2" xfId="0" applyFont="1" applyFill="1" applyBorder="1" applyAlignment="1">
      <alignment horizontal="center"/>
    </xf>
    <xf numFmtId="14" fontId="32" fillId="3" borderId="2" xfId="0" applyNumberFormat="1" applyFont="1" applyFill="1" applyBorder="1"/>
    <xf numFmtId="0" fontId="32" fillId="3" borderId="2" xfId="0" applyFont="1" applyFill="1" applyBorder="1" applyAlignment="1">
      <alignment wrapText="1"/>
    </xf>
    <xf numFmtId="49" fontId="32" fillId="3" borderId="2" xfId="0" applyNumberFormat="1" applyFont="1" applyFill="1" applyBorder="1"/>
    <xf numFmtId="0" fontId="32" fillId="3" borderId="2" xfId="0" applyFont="1" applyFill="1" applyBorder="1"/>
    <xf numFmtId="0" fontId="42" fillId="3" borderId="2" xfId="2" applyFont="1" applyFill="1" applyBorder="1"/>
    <xf numFmtId="164" fontId="32" fillId="3" borderId="2" xfId="1" applyNumberFormat="1" applyFont="1" applyFill="1" applyBorder="1"/>
    <xf numFmtId="49" fontId="32" fillId="3" borderId="2" xfId="0" applyNumberFormat="1" applyFont="1" applyFill="1" applyBorder="1" applyAlignment="1">
      <alignment wrapText="1"/>
    </xf>
    <xf numFmtId="0" fontId="43" fillId="3" borderId="10" xfId="0" applyFont="1" applyFill="1" applyBorder="1" applyAlignment="1"/>
    <xf numFmtId="0" fontId="32" fillId="3" borderId="4" xfId="0" applyFont="1" applyFill="1" applyBorder="1"/>
    <xf numFmtId="164" fontId="32" fillId="3" borderId="4" xfId="1" applyNumberFormat="1" applyFont="1" applyFill="1" applyBorder="1"/>
    <xf numFmtId="164" fontId="32" fillId="3" borderId="2" xfId="0" applyNumberFormat="1" applyFont="1" applyFill="1" applyBorder="1"/>
    <xf numFmtId="3" fontId="32" fillId="3" borderId="2" xfId="0" applyNumberFormat="1" applyFont="1" applyFill="1" applyBorder="1"/>
    <xf numFmtId="0" fontId="32" fillId="3" borderId="0" xfId="0" applyFont="1" applyFill="1"/>
    <xf numFmtId="0" fontId="32" fillId="3" borderId="2" xfId="0" applyFont="1" applyFill="1" applyBorder="1" applyAlignment="1" applyProtection="1">
      <alignment horizontal="center" vertical="center" wrapText="1"/>
    </xf>
    <xf numFmtId="9" fontId="32" fillId="3" borderId="2" xfId="0" applyNumberFormat="1" applyFont="1" applyFill="1" applyBorder="1"/>
    <xf numFmtId="0" fontId="8" fillId="3" borderId="2" xfId="0" applyFont="1" applyFill="1" applyBorder="1" applyAlignment="1" applyProtection="1">
      <alignment horizontal="center" vertical="center" wrapText="1"/>
    </xf>
    <xf numFmtId="14" fontId="13" fillId="3" borderId="2" xfId="0" applyNumberFormat="1" applyFont="1" applyFill="1" applyBorder="1"/>
    <xf numFmtId="0" fontId="13" fillId="3" borderId="2" xfId="0" applyFont="1" applyFill="1" applyBorder="1" applyAlignment="1">
      <alignment wrapText="1"/>
    </xf>
    <xf numFmtId="49" fontId="13" fillId="3" borderId="2" xfId="0" applyNumberFormat="1" applyFont="1" applyFill="1" applyBorder="1"/>
    <xf numFmtId="0" fontId="13" fillId="3" borderId="2" xfId="0" applyFont="1" applyFill="1" applyBorder="1"/>
    <xf numFmtId="0" fontId="36" fillId="3" borderId="2" xfId="2" applyFont="1" applyFill="1" applyBorder="1"/>
    <xf numFmtId="164" fontId="13" fillId="3" borderId="2" xfId="1" applyNumberFormat="1" applyFont="1" applyFill="1" applyBorder="1"/>
    <xf numFmtId="49" fontId="13" fillId="3" borderId="2" xfId="0" applyNumberFormat="1" applyFont="1" applyFill="1" applyBorder="1" applyAlignment="1">
      <alignment wrapText="1"/>
    </xf>
    <xf numFmtId="0" fontId="35" fillId="3" borderId="10" xfId="0" applyFont="1" applyFill="1" applyBorder="1" applyAlignment="1"/>
    <xf numFmtId="0" fontId="13" fillId="3" borderId="4" xfId="0" applyFont="1" applyFill="1" applyBorder="1"/>
    <xf numFmtId="164" fontId="13" fillId="3" borderId="4" xfId="1" applyNumberFormat="1" applyFont="1" applyFill="1" applyBorder="1"/>
    <xf numFmtId="164" fontId="13" fillId="3" borderId="2" xfId="0" applyNumberFormat="1" applyFont="1" applyFill="1" applyBorder="1"/>
    <xf numFmtId="3" fontId="13" fillId="3" borderId="2" xfId="0" applyNumberFormat="1" applyFont="1" applyFill="1" applyBorder="1"/>
    <xf numFmtId="0" fontId="13" fillId="3" borderId="0" xfId="0" applyFont="1" applyFill="1"/>
    <xf numFmtId="0" fontId="38" fillId="3" borderId="2" xfId="0" applyFont="1" applyFill="1" applyBorder="1" applyAlignment="1" applyProtection="1">
      <alignment horizontal="center" vertical="center" wrapText="1"/>
    </xf>
    <xf numFmtId="0" fontId="13" fillId="3" borderId="2" xfId="0" applyFont="1" applyFill="1" applyBorder="1" applyAlignment="1">
      <alignment horizontal="center"/>
    </xf>
    <xf numFmtId="9" fontId="13" fillId="3" borderId="2" xfId="0" applyNumberFormat="1" applyFont="1" applyFill="1" applyBorder="1"/>
    <xf numFmtId="0" fontId="32" fillId="3" borderId="2" xfId="0" applyFont="1" applyFill="1" applyBorder="1" applyAlignment="1">
      <alignment horizontal="center"/>
    </xf>
    <xf numFmtId="0" fontId="13" fillId="3" borderId="2" xfId="0" applyFont="1" applyFill="1" applyBorder="1" applyAlignment="1" applyProtection="1">
      <alignment horizontal="center" vertical="center" wrapText="1"/>
    </xf>
    <xf numFmtId="0" fontId="4" fillId="3" borderId="2" xfId="2" applyFill="1" applyBorder="1"/>
    <xf numFmtId="0" fontId="32" fillId="6" borderId="2" xfId="0" applyFont="1" applyFill="1" applyBorder="1" applyAlignment="1"/>
    <xf numFmtId="164" fontId="32" fillId="6" borderId="4" xfId="1" applyNumberFormat="1" applyFont="1" applyFill="1" applyBorder="1" applyAlignment="1"/>
    <xf numFmtId="14" fontId="32" fillId="6" borderId="2" xfId="0" applyNumberFormat="1" applyFont="1" applyFill="1" applyBorder="1" applyAlignment="1"/>
    <xf numFmtId="9" fontId="32" fillId="6" borderId="2" xfId="0" applyNumberFormat="1" applyFont="1" applyFill="1" applyBorder="1" applyAlignment="1"/>
    <xf numFmtId="49" fontId="13" fillId="0" borderId="2" xfId="0" applyNumberFormat="1" applyFont="1" applyBorder="1" applyAlignment="1">
      <alignment vertical="top"/>
    </xf>
    <xf numFmtId="3" fontId="13" fillId="0" borderId="2" xfId="0" applyNumberFormat="1" applyFont="1" applyBorder="1" applyAlignment="1">
      <alignment vertical="top"/>
    </xf>
    <xf numFmtId="0" fontId="13" fillId="5" borderId="2" xfId="0" applyFont="1" applyFill="1" applyBorder="1" applyAlignment="1">
      <alignment vertical="top"/>
    </xf>
    <xf numFmtId="0" fontId="13" fillId="0" borderId="0" xfId="0" applyFont="1" applyAlignment="1">
      <alignment vertical="top"/>
    </xf>
    <xf numFmtId="164" fontId="13" fillId="5" borderId="2" xfId="1" applyNumberFormat="1" applyFont="1" applyFill="1" applyBorder="1" applyAlignment="1">
      <alignment vertical="top"/>
    </xf>
    <xf numFmtId="0" fontId="42" fillId="0" borderId="2" xfId="2" applyFont="1" applyBorder="1" applyAlignment="1">
      <alignment vertical="top"/>
    </xf>
    <xf numFmtId="49" fontId="32" fillId="0" borderId="2" xfId="0" applyNumberFormat="1" applyFont="1" applyBorder="1" applyAlignment="1">
      <alignment vertical="top" wrapText="1"/>
    </xf>
    <xf numFmtId="164" fontId="13" fillId="5" borderId="2" xfId="1" applyNumberFormat="1" applyFont="1" applyFill="1" applyBorder="1" applyAlignment="1">
      <alignment horizontal="left" vertical="top"/>
    </xf>
    <xf numFmtId="49" fontId="32" fillId="5" borderId="2" xfId="0" applyNumberFormat="1" applyFont="1" applyFill="1" applyBorder="1" applyAlignment="1">
      <alignment vertical="top"/>
    </xf>
    <xf numFmtId="14" fontId="32" fillId="5" borderId="2" xfId="0" applyNumberFormat="1" applyFont="1" applyFill="1" applyBorder="1" applyAlignment="1"/>
    <xf numFmtId="9" fontId="32" fillId="5" borderId="2" xfId="0" applyNumberFormat="1" applyFont="1" applyFill="1" applyBorder="1" applyAlignment="1"/>
    <xf numFmtId="3" fontId="32" fillId="5" borderId="2" xfId="0" applyNumberFormat="1" applyFont="1" applyFill="1" applyBorder="1" applyAlignment="1">
      <alignment vertical="top"/>
    </xf>
    <xf numFmtId="0" fontId="32" fillId="5" borderId="0" xfId="0" applyFont="1" applyFill="1" applyAlignment="1">
      <alignment vertical="top"/>
    </xf>
    <xf numFmtId="9" fontId="13" fillId="0" borderId="2" xfId="0" applyNumberFormat="1" applyFont="1" applyBorder="1" applyAlignment="1">
      <alignment vertical="top"/>
    </xf>
    <xf numFmtId="0" fontId="13" fillId="2" borderId="2" xfId="0" applyFont="1" applyFill="1" applyBorder="1" applyAlignment="1">
      <alignment horizontal="left" vertical="top"/>
    </xf>
    <xf numFmtId="0" fontId="13" fillId="0" borderId="2" xfId="0" applyFont="1" applyBorder="1" applyAlignment="1">
      <alignment horizontal="left" vertical="top"/>
    </xf>
    <xf numFmtId="49" fontId="13" fillId="0" borderId="2" xfId="0" applyNumberFormat="1" applyFont="1" applyBorder="1" applyAlignment="1">
      <alignment vertical="top" wrapText="1"/>
    </xf>
    <xf numFmtId="14" fontId="13" fillId="5" borderId="2" xfId="0" applyNumberFormat="1" applyFont="1" applyFill="1" applyBorder="1" applyAlignment="1"/>
    <xf numFmtId="9" fontId="13" fillId="5" borderId="2" xfId="0" applyNumberFormat="1" applyFont="1" applyFill="1" applyBorder="1" applyAlignment="1"/>
    <xf numFmtId="9" fontId="13" fillId="0" borderId="2" xfId="0" applyNumberFormat="1" applyFont="1" applyBorder="1" applyAlignment="1">
      <alignment horizontal="left" vertical="top"/>
    </xf>
    <xf numFmtId="0" fontId="35" fillId="2" borderId="10" xfId="0" applyFont="1" applyFill="1" applyBorder="1" applyAlignment="1"/>
    <xf numFmtId="14" fontId="13" fillId="0" borderId="2" xfId="0" applyNumberFormat="1" applyFont="1" applyBorder="1" applyAlignment="1">
      <alignment horizontal="left" vertical="top"/>
    </xf>
    <xf numFmtId="0" fontId="13" fillId="0" borderId="2" xfId="0" applyFont="1" applyBorder="1" applyAlignment="1">
      <alignment horizontal="right" vertical="top"/>
    </xf>
    <xf numFmtId="14" fontId="13" fillId="0" borderId="2" xfId="0" applyNumberFormat="1" applyFont="1" applyBorder="1" applyAlignment="1">
      <alignment horizontal="right" vertical="top"/>
    </xf>
    <xf numFmtId="0" fontId="13" fillId="0" borderId="2" xfId="0" applyFont="1" applyBorder="1" applyAlignment="1">
      <alignment horizontal="left" vertical="top" wrapText="1"/>
    </xf>
    <xf numFmtId="49" fontId="13" fillId="0" borderId="2" xfId="0" applyNumberFormat="1" applyFont="1" applyBorder="1" applyAlignment="1">
      <alignment horizontal="left" vertical="top"/>
    </xf>
    <xf numFmtId="0" fontId="13" fillId="2" borderId="2" xfId="0" applyFont="1" applyFill="1" applyBorder="1" applyAlignment="1">
      <alignment horizontal="left" vertical="top" wrapText="1"/>
    </xf>
    <xf numFmtId="3" fontId="13" fillId="0" borderId="2" xfId="0" applyNumberFormat="1" applyFont="1" applyBorder="1" applyAlignment="1">
      <alignment horizontal="left" vertical="top"/>
    </xf>
    <xf numFmtId="0" fontId="13" fillId="5" borderId="2" xfId="0" applyFont="1" applyFill="1" applyBorder="1" applyAlignment="1">
      <alignment horizontal="left" vertical="top"/>
    </xf>
    <xf numFmtId="0" fontId="13" fillId="0" borderId="0" xfId="0" applyFont="1" applyAlignment="1">
      <alignment horizontal="left" vertical="top"/>
    </xf>
    <xf numFmtId="0" fontId="36" fillId="0" borderId="2" xfId="2" applyFont="1" applyBorder="1" applyAlignment="1">
      <alignment vertical="top"/>
    </xf>
    <xf numFmtId="164" fontId="13" fillId="0" borderId="2" xfId="0" applyNumberFormat="1" applyFont="1" applyBorder="1" applyAlignment="1">
      <alignment vertical="top"/>
    </xf>
    <xf numFmtId="14" fontId="13" fillId="6" borderId="2" xfId="0" applyNumberFormat="1" applyFont="1" applyFill="1" applyBorder="1"/>
    <xf numFmtId="0" fontId="13" fillId="6" borderId="2" xfId="0" applyFont="1" applyFill="1" applyBorder="1" applyAlignment="1">
      <alignment vertical="top" wrapText="1"/>
    </xf>
    <xf numFmtId="49" fontId="13" fillId="6" borderId="2" xfId="0" applyNumberFormat="1" applyFont="1" applyFill="1" applyBorder="1"/>
    <xf numFmtId="0" fontId="13" fillId="6" borderId="2" xfId="0" applyFont="1" applyFill="1" applyBorder="1" applyAlignment="1">
      <alignment wrapText="1"/>
    </xf>
    <xf numFmtId="49" fontId="13" fillId="6" borderId="2" xfId="0" applyNumberFormat="1" applyFont="1" applyFill="1" applyBorder="1" applyAlignment="1">
      <alignment wrapText="1"/>
    </xf>
    <xf numFmtId="0" fontId="13" fillId="6" borderId="2" xfId="0" applyFont="1" applyFill="1" applyBorder="1" applyAlignment="1"/>
    <xf numFmtId="164" fontId="13" fillId="6" borderId="4" xfId="1" applyNumberFormat="1" applyFont="1" applyFill="1" applyBorder="1" applyAlignment="1"/>
    <xf numFmtId="14" fontId="13" fillId="6" borderId="2" xfId="0" applyNumberFormat="1" applyFont="1" applyFill="1" applyBorder="1" applyAlignment="1"/>
    <xf numFmtId="9" fontId="13" fillId="6" borderId="2" xfId="0" applyNumberFormat="1" applyFont="1" applyFill="1" applyBorder="1" applyAlignment="1"/>
    <xf numFmtId="164" fontId="13" fillId="6" borderId="2" xfId="1" applyNumberFormat="1" applyFont="1" applyFill="1" applyBorder="1"/>
    <xf numFmtId="3" fontId="13" fillId="6" borderId="2" xfId="0" applyNumberFormat="1" applyFont="1" applyFill="1" applyBorder="1"/>
    <xf numFmtId="0" fontId="13" fillId="6" borderId="0" xfId="0" applyFont="1" applyFill="1"/>
    <xf numFmtId="9" fontId="32" fillId="5" borderId="2" xfId="0" applyNumberFormat="1" applyFont="1" applyFill="1" applyBorder="1" applyAlignment="1">
      <alignment vertical="top"/>
    </xf>
    <xf numFmtId="14" fontId="13" fillId="5" borderId="2" xfId="0" applyNumberFormat="1" applyFont="1" applyFill="1" applyBorder="1" applyAlignment="1">
      <alignment vertical="top"/>
    </xf>
    <xf numFmtId="49" fontId="13" fillId="5" borderId="2" xfId="0" applyNumberFormat="1" applyFont="1" applyFill="1" applyBorder="1" applyAlignment="1">
      <alignment vertical="top"/>
    </xf>
    <xf numFmtId="3" fontId="13" fillId="5" borderId="2" xfId="0" applyNumberFormat="1" applyFont="1" applyFill="1" applyBorder="1" applyAlignment="1">
      <alignment vertical="top"/>
    </xf>
    <xf numFmtId="0" fontId="13" fillId="5" borderId="0" xfId="0" applyFont="1" applyFill="1" applyAlignment="1">
      <alignment vertical="top"/>
    </xf>
    <xf numFmtId="0" fontId="53" fillId="5" borderId="2" xfId="6" applyFill="1" applyBorder="1" applyAlignment="1">
      <alignment vertical="top"/>
    </xf>
    <xf numFmtId="0" fontId="36" fillId="5" borderId="2" xfId="2" applyFont="1" applyFill="1" applyBorder="1" applyAlignment="1">
      <alignment vertical="top"/>
    </xf>
    <xf numFmtId="9" fontId="13" fillId="5" borderId="2" xfId="0" applyNumberFormat="1" applyFont="1" applyFill="1" applyBorder="1" applyAlignment="1">
      <alignment vertical="top"/>
    </xf>
    <xf numFmtId="14" fontId="32" fillId="2" borderId="2" xfId="0" applyNumberFormat="1" applyFont="1" applyFill="1" applyBorder="1" applyAlignment="1">
      <alignment vertical="top"/>
    </xf>
    <xf numFmtId="49" fontId="32" fillId="2" borderId="2" xfId="0" applyNumberFormat="1" applyFont="1" applyFill="1" applyBorder="1" applyAlignment="1">
      <alignment vertical="top"/>
    </xf>
    <xf numFmtId="0" fontId="32" fillId="2" borderId="2" xfId="0" quotePrefix="1" applyFont="1" applyFill="1" applyBorder="1" applyAlignment="1">
      <alignment vertical="top" wrapText="1"/>
    </xf>
    <xf numFmtId="164" fontId="32" fillId="2" borderId="4" xfId="1" applyNumberFormat="1" applyFont="1" applyFill="1" applyBorder="1" applyAlignment="1">
      <alignment vertical="top"/>
    </xf>
    <xf numFmtId="9" fontId="32" fillId="2" borderId="2" xfId="0" applyNumberFormat="1" applyFont="1" applyFill="1" applyBorder="1" applyAlignment="1">
      <alignment vertical="top"/>
    </xf>
    <xf numFmtId="164" fontId="32" fillId="2" borderId="2" xfId="1" applyNumberFormat="1" applyFont="1" applyFill="1" applyBorder="1" applyAlignment="1">
      <alignment horizontal="left" vertical="top"/>
    </xf>
    <xf numFmtId="3" fontId="32" fillId="2" borderId="2" xfId="0" applyNumberFormat="1" applyFont="1" applyFill="1" applyBorder="1" applyAlignment="1">
      <alignment vertical="top"/>
    </xf>
    <xf numFmtId="0" fontId="32" fillId="2" borderId="0" xfId="0" applyFont="1" applyFill="1" applyAlignment="1">
      <alignment vertical="top"/>
    </xf>
    <xf numFmtId="164" fontId="32" fillId="2" borderId="2" xfId="1" applyNumberFormat="1" applyFont="1" applyFill="1" applyBorder="1" applyAlignment="1">
      <alignment vertical="top"/>
    </xf>
    <xf numFmtId="0" fontId="38" fillId="5" borderId="2" xfId="0" applyFont="1" applyFill="1" applyBorder="1" applyAlignment="1" applyProtection="1">
      <alignment horizontal="center" vertical="center" wrapText="1"/>
    </xf>
    <xf numFmtId="0" fontId="10" fillId="0" borderId="0" xfId="0" applyFont="1" applyAlignment="1">
      <alignment vertical="top" wrapText="1"/>
    </xf>
    <xf numFmtId="0" fontId="10" fillId="0" borderId="1" xfId="0" applyFont="1" applyBorder="1" applyAlignment="1">
      <alignment vertical="top" wrapText="1"/>
    </xf>
    <xf numFmtId="0" fontId="24" fillId="0" borderId="0" xfId="0" applyFont="1" applyAlignment="1">
      <alignment horizontal="center" vertical="center"/>
    </xf>
    <xf numFmtId="0" fontId="24" fillId="0" borderId="0" xfId="0" applyFont="1" applyBorder="1" applyAlignment="1">
      <alignment horizontal="center" vertical="center"/>
    </xf>
    <xf numFmtId="0" fontId="10" fillId="0" borderId="0" xfId="0" applyFont="1" applyAlignment="1">
      <alignment vertical="center"/>
    </xf>
    <xf numFmtId="0" fontId="10" fillId="0" borderId="1" xfId="0" applyFont="1" applyBorder="1" applyAlignment="1">
      <alignment vertical="center"/>
    </xf>
  </cellXfs>
  <cellStyles count="7">
    <cellStyle name="Bad" xfId="6" builtinId="27"/>
    <cellStyle name="Comma" xfId="1" builtinId="3"/>
    <cellStyle name="Hyperlink" xfId="2" builtinId="8"/>
    <cellStyle name="Hyperlink 2" xfId="3"/>
    <cellStyle name="Normal" xfId="0" builtinId="0"/>
    <cellStyle name="Normal 2" xfId="4"/>
    <cellStyle name="Percent" xfId="5" builtinId="5"/>
  </cellStyles>
  <dxfs count="6">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_rels/drawing2.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0</xdr:rowOff>
    </xdr:from>
    <xdr:to>
      <xdr:col>13</xdr:col>
      <xdr:colOff>9525</xdr:colOff>
      <xdr:row>4</xdr:row>
      <xdr:rowOff>0</xdr:rowOff>
    </xdr:to>
    <xdr:pic>
      <xdr:nvPicPr>
        <xdr:cNvPr id="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555700" y="1085850"/>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0</xdr:colOff>
      <xdr:row>4</xdr:row>
      <xdr:rowOff>0</xdr:rowOff>
    </xdr:from>
    <xdr:to>
      <xdr:col>10</xdr:col>
      <xdr:colOff>9525</xdr:colOff>
      <xdr:row>4</xdr:row>
      <xdr:rowOff>0</xdr:rowOff>
    </xdr:to>
    <xdr:pic>
      <xdr:nvPicPr>
        <xdr:cNvPr id="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17050" y="1085850"/>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4</xdr:row>
      <xdr:rowOff>0</xdr:rowOff>
    </xdr:from>
    <xdr:to>
      <xdr:col>14</xdr:col>
      <xdr:colOff>0</xdr:colOff>
      <xdr:row>4</xdr:row>
      <xdr:rowOff>0</xdr:rowOff>
    </xdr:to>
    <xdr:pic>
      <xdr:nvPicPr>
        <xdr:cNvPr id="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555700" y="1085850"/>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0</xdr:colOff>
      <xdr:row>4</xdr:row>
      <xdr:rowOff>0</xdr:rowOff>
    </xdr:from>
    <xdr:to>
      <xdr:col>11</xdr:col>
      <xdr:colOff>9525</xdr:colOff>
      <xdr:row>4</xdr:row>
      <xdr:rowOff>0</xdr:rowOff>
    </xdr:to>
    <xdr:pic>
      <xdr:nvPicPr>
        <xdr:cNvPr id="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17050" y="1085850"/>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r@fansipandananghotel.com.v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tsangtrong@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Nguyenthangaof@gmail.com" TargetMode="External"/><Relationship Id="rId13" Type="http://schemas.openxmlformats.org/officeDocument/2006/relationships/printerSettings" Target="../printerSettings/printerSettings3.bin"/><Relationship Id="rId3" Type="http://schemas.openxmlformats.org/officeDocument/2006/relationships/hyperlink" Target="mailto:hai@wcorp.vn" TargetMode="External"/><Relationship Id="rId7" Type="http://schemas.openxmlformats.org/officeDocument/2006/relationships/hyperlink" Target="mailto:Nguyenthangaof@gmail.com" TargetMode="External"/><Relationship Id="rId12" Type="http://schemas.openxmlformats.org/officeDocument/2006/relationships/hyperlink" Target="mailto:hoangdieuthu12@yahoo.com" TargetMode="External"/><Relationship Id="rId2" Type="http://schemas.openxmlformats.org/officeDocument/2006/relationships/hyperlink" Target="mailto:chudiemhuong@gmail.com" TargetMode="External"/><Relationship Id="rId1" Type="http://schemas.openxmlformats.org/officeDocument/2006/relationships/hyperlink" Target="mailto:apohair.anna@gmail.com" TargetMode="External"/><Relationship Id="rId6" Type="http://schemas.openxmlformats.org/officeDocument/2006/relationships/hyperlink" Target="mailto:nguyenhaiyen191@gmail.com" TargetMode="External"/><Relationship Id="rId11" Type="http://schemas.openxmlformats.org/officeDocument/2006/relationships/hyperlink" Target="mailto:vinatienphong.vn@gmail.com" TargetMode="External"/><Relationship Id="rId5" Type="http://schemas.openxmlformats.org/officeDocument/2006/relationships/hyperlink" Target="mailto:haivan@gwin.com.vn" TargetMode="External"/><Relationship Id="rId10" Type="http://schemas.openxmlformats.org/officeDocument/2006/relationships/hyperlink" Target="mailto:vinatienphong.vn@gmail.com" TargetMode="External"/><Relationship Id="rId4" Type="http://schemas.openxmlformats.org/officeDocument/2006/relationships/hyperlink" Target="mailto:chikinhbac@gmail.com" TargetMode="External"/><Relationship Id="rId9" Type="http://schemas.openxmlformats.org/officeDocument/2006/relationships/hyperlink" Target="mailto:doantrang.2203@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ngockiemtoan2016@gmail.com" TargetMode="External"/><Relationship Id="rId13" Type="http://schemas.openxmlformats.org/officeDocument/2006/relationships/printerSettings" Target="../printerSettings/printerSettings4.bin"/><Relationship Id="rId3" Type="http://schemas.openxmlformats.org/officeDocument/2006/relationships/hyperlink" Target="mailto:ctyhienphuoc@gmail.com" TargetMode="External"/><Relationship Id="rId7" Type="http://schemas.openxmlformats.org/officeDocument/2006/relationships/hyperlink" Target="mailto:buithuyan868@gmail.com" TargetMode="External"/><Relationship Id="rId12" Type="http://schemas.openxmlformats.org/officeDocument/2006/relationships/hyperlink" Target="mailto:ngocbich21@gmail.com" TargetMode="External"/><Relationship Id="rId2" Type="http://schemas.openxmlformats.org/officeDocument/2006/relationships/hyperlink" Target="mailto:ductampccc@gmail.com" TargetMode="External"/><Relationship Id="rId1" Type="http://schemas.openxmlformats.org/officeDocument/2006/relationships/hyperlink" Target="mailto:huyen.nguyenthu78@gmail.com" TargetMode="External"/><Relationship Id="rId6" Type="http://schemas.openxmlformats.org/officeDocument/2006/relationships/hyperlink" Target="mailto:Mocthao247@gmail.com" TargetMode="External"/><Relationship Id="rId11" Type="http://schemas.openxmlformats.org/officeDocument/2006/relationships/hyperlink" Target="mailto:ha.bt@peteco.com.vn" TargetMode="External"/><Relationship Id="rId5" Type="http://schemas.openxmlformats.org/officeDocument/2006/relationships/hyperlink" Target="mailto:vanminhngoc178@gmail.com" TargetMode="External"/><Relationship Id="rId10" Type="http://schemas.openxmlformats.org/officeDocument/2006/relationships/hyperlink" Target="mailto:thanh_nguyenhoai1906@yahoo.com" TargetMode="External"/><Relationship Id="rId4" Type="http://schemas.openxmlformats.org/officeDocument/2006/relationships/hyperlink" Target="mailto:vanthianh111@gmail.com" TargetMode="External"/><Relationship Id="rId9" Type="http://schemas.openxmlformats.org/officeDocument/2006/relationships/hyperlink" Target="mailto:tuyen.nguyenthi@wintech.vn"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Ltmankt@gmail.com" TargetMode="External"/><Relationship Id="rId7" Type="http://schemas.openxmlformats.org/officeDocument/2006/relationships/hyperlink" Target="mailto:Ltmankt@gmail.com" TargetMode="External"/><Relationship Id="rId2" Type="http://schemas.openxmlformats.org/officeDocument/2006/relationships/hyperlink" Target="mailto:Ltmankt@gmail.com" TargetMode="External"/><Relationship Id="rId1" Type="http://schemas.openxmlformats.org/officeDocument/2006/relationships/hyperlink" Target="mailto:Ltmankt@gmail.com" TargetMode="External"/><Relationship Id="rId6" Type="http://schemas.openxmlformats.org/officeDocument/2006/relationships/hyperlink" Target="mailto:Ltmankt@gmail.com" TargetMode="External"/><Relationship Id="rId5" Type="http://schemas.openxmlformats.org/officeDocument/2006/relationships/hyperlink" Target="mailto:Ltmankt@gmail.com" TargetMode="External"/><Relationship Id="rId4" Type="http://schemas.openxmlformats.org/officeDocument/2006/relationships/hyperlink" Target="mailto:Ltmankt@gmail.com"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mailto:thuynguyen310597@gmail.com" TargetMode="External"/><Relationship Id="rId21" Type="http://schemas.openxmlformats.org/officeDocument/2006/relationships/hyperlink" Target="mailto:dangbac1501@gmail.com" TargetMode="External"/><Relationship Id="rId42" Type="http://schemas.openxmlformats.org/officeDocument/2006/relationships/hyperlink" Target="mailto:hthcompanyltd@gmail.com" TargetMode="External"/><Relationship Id="rId63" Type="http://schemas.openxmlformats.org/officeDocument/2006/relationships/hyperlink" Target="mailto:ketoanthue.ptm@gmail.com" TargetMode="External"/><Relationship Id="rId84" Type="http://schemas.openxmlformats.org/officeDocument/2006/relationships/hyperlink" Target="mailto:hainam7980@gmail.com" TargetMode="External"/><Relationship Id="rId138" Type="http://schemas.openxmlformats.org/officeDocument/2006/relationships/hyperlink" Target="mailto:Dangthuy200191@gmail.com" TargetMode="External"/><Relationship Id="rId107" Type="http://schemas.openxmlformats.org/officeDocument/2006/relationships/hyperlink" Target="mailto:Theuthangloifood@gmail.com" TargetMode="External"/><Relationship Id="rId11" Type="http://schemas.openxmlformats.org/officeDocument/2006/relationships/hyperlink" Target="mailto:anthuy2407@gmail.com" TargetMode="External"/><Relationship Id="rId32" Type="http://schemas.openxmlformats.org/officeDocument/2006/relationships/hyperlink" Target="mailto:khanggia.pvc@gmail.com" TargetMode="External"/><Relationship Id="rId53" Type="http://schemas.openxmlformats.org/officeDocument/2006/relationships/hyperlink" Target="mailto:Doantrang.2203@gmail.com" TargetMode="External"/><Relationship Id="rId74" Type="http://schemas.openxmlformats.org/officeDocument/2006/relationships/hyperlink" Target="mailto:levb84@gmail.com" TargetMode="External"/><Relationship Id="rId128" Type="http://schemas.openxmlformats.org/officeDocument/2006/relationships/hyperlink" Target="mailto:eecvn.co@gmail.com" TargetMode="External"/><Relationship Id="rId149" Type="http://schemas.openxmlformats.org/officeDocument/2006/relationships/hyperlink" Target="mailto:thanhnampham0@gmail.com" TargetMode="External"/><Relationship Id="rId5" Type="http://schemas.openxmlformats.org/officeDocument/2006/relationships/hyperlink" Target="mailto:Nhungnt@vanphongpham24.com" TargetMode="External"/><Relationship Id="rId95" Type="http://schemas.openxmlformats.org/officeDocument/2006/relationships/hyperlink" Target="mailto:thanhhuongip@gmail.com" TargetMode="External"/><Relationship Id="rId22" Type="http://schemas.openxmlformats.org/officeDocument/2006/relationships/hyperlink" Target="mailto:lethuythh@gmail.com" TargetMode="External"/><Relationship Id="rId27" Type="http://schemas.openxmlformats.org/officeDocument/2006/relationships/hyperlink" Target="mailto:anz.thanhtran@gmail.com" TargetMode="External"/><Relationship Id="rId43" Type="http://schemas.openxmlformats.org/officeDocument/2006/relationships/hyperlink" Target="mailto:thuychu72@gmail.com" TargetMode="External"/><Relationship Id="rId48" Type="http://schemas.openxmlformats.org/officeDocument/2006/relationships/hyperlink" Target="mailto:alpha-plus@fpt.vn" TargetMode="External"/><Relationship Id="rId64" Type="http://schemas.openxmlformats.org/officeDocument/2006/relationships/hyperlink" Target="mailto:Nguyenoanh90ht@gmail.com" TargetMode="External"/><Relationship Id="rId69" Type="http://schemas.openxmlformats.org/officeDocument/2006/relationships/hyperlink" Target="mailto:tlananh2010@gmail.com" TargetMode="External"/><Relationship Id="rId113" Type="http://schemas.openxmlformats.org/officeDocument/2006/relationships/hyperlink" Target="mailto:Thuongtm252@gmail.com" TargetMode="External"/><Relationship Id="rId118" Type="http://schemas.openxmlformats.org/officeDocument/2006/relationships/hyperlink" Target="mailto:tamducviet@gmail.com%200904108738" TargetMode="External"/><Relationship Id="rId134" Type="http://schemas.openxmlformats.org/officeDocument/2006/relationships/hyperlink" Target="mailto:thuytran0571@gmail.com" TargetMode="External"/><Relationship Id="rId139" Type="http://schemas.openxmlformats.org/officeDocument/2006/relationships/hyperlink" Target="mailto:mcgolfvn21@gmail.com" TargetMode="External"/><Relationship Id="rId80" Type="http://schemas.openxmlformats.org/officeDocument/2006/relationships/hyperlink" Target="mailto:viettrungtbcn.jsc@gmail.com" TargetMode="External"/><Relationship Id="rId85" Type="http://schemas.openxmlformats.org/officeDocument/2006/relationships/hyperlink" Target="mailto:tranhuyen1407@gmail.com" TargetMode="External"/><Relationship Id="rId150" Type="http://schemas.openxmlformats.org/officeDocument/2006/relationships/hyperlink" Target="mailto:Congtylioa167@gmail.com" TargetMode="External"/><Relationship Id="rId155" Type="http://schemas.openxmlformats.org/officeDocument/2006/relationships/printerSettings" Target="../printerSettings/printerSettings6.bin"/><Relationship Id="rId12" Type="http://schemas.openxmlformats.org/officeDocument/2006/relationships/hyperlink" Target="mailto:sharc.vn@gmail.com" TargetMode="External"/><Relationship Id="rId17" Type="http://schemas.openxmlformats.org/officeDocument/2006/relationships/hyperlink" Target="mailto:vi.pttct55@gmail.com" TargetMode="External"/><Relationship Id="rId33" Type="http://schemas.openxmlformats.org/officeDocument/2006/relationships/hyperlink" Target="mailto:Ketoankiemtoan911@gmail.com" TargetMode="External"/><Relationship Id="rId38" Type="http://schemas.openxmlformats.org/officeDocument/2006/relationships/hyperlink" Target="mailto:thanhloanpham2020@gmail.com" TargetMode="External"/><Relationship Id="rId59" Type="http://schemas.openxmlformats.org/officeDocument/2006/relationships/hyperlink" Target="mailto:tranghtc8948@gmail.com" TargetMode="External"/><Relationship Id="rId103" Type="http://schemas.openxmlformats.org/officeDocument/2006/relationships/hyperlink" Target="mailto:luyensoeco@gmail.com" TargetMode="External"/><Relationship Id="rId108" Type="http://schemas.openxmlformats.org/officeDocument/2006/relationships/hyperlink" Target="mailto:ttrang24@gmail.com" TargetMode="External"/><Relationship Id="rId124" Type="http://schemas.openxmlformats.org/officeDocument/2006/relationships/hyperlink" Target="mailto:ketoanphuthanh99@gmail.com" TargetMode="External"/><Relationship Id="rId129" Type="http://schemas.openxmlformats.org/officeDocument/2006/relationships/hyperlink" Target="mailto:eecvn.co@gmail.com" TargetMode="External"/><Relationship Id="rId54" Type="http://schemas.openxmlformats.org/officeDocument/2006/relationships/hyperlink" Target="mailto:inbinhminh1@gmail.com" TargetMode="External"/><Relationship Id="rId70" Type="http://schemas.openxmlformats.org/officeDocument/2006/relationships/hyperlink" Target="mailto:Xuanthuy1701@gmail.com" TargetMode="External"/><Relationship Id="rId75" Type="http://schemas.openxmlformats.org/officeDocument/2006/relationships/hyperlink" Target="mailto:tammoc.ltd@gmail.com" TargetMode="External"/><Relationship Id="rId91" Type="http://schemas.openxmlformats.org/officeDocument/2006/relationships/hyperlink" Target="mailto:Yennhi2807@gmail.com" TargetMode="External"/><Relationship Id="rId96" Type="http://schemas.openxmlformats.org/officeDocument/2006/relationships/hyperlink" Target="mailto:Duocphamtamduchanoi@gmail.com" TargetMode="External"/><Relationship Id="rId140" Type="http://schemas.openxmlformats.org/officeDocument/2006/relationships/hyperlink" Target="mailto:maianh.greenoffice@gmail.com" TargetMode="External"/><Relationship Id="rId145" Type="http://schemas.openxmlformats.org/officeDocument/2006/relationships/hyperlink" Target="mailto:leungocbich@gmail.com" TargetMode="External"/><Relationship Id="rId1" Type="http://schemas.openxmlformats.org/officeDocument/2006/relationships/hyperlink" Target="mailto:congtyhilachi@gmail.com" TargetMode="External"/><Relationship Id="rId6" Type="http://schemas.openxmlformats.org/officeDocument/2006/relationships/hyperlink" Target="mailto:ktt@tic.vn" TargetMode="External"/><Relationship Id="rId23" Type="http://schemas.openxmlformats.org/officeDocument/2006/relationships/hyperlink" Target="mailto:Chudiemhuong@gmail.com" TargetMode="External"/><Relationship Id="rId28" Type="http://schemas.openxmlformats.org/officeDocument/2006/relationships/hyperlink" Target="mailto:maintn@thatgroup.com.vn" TargetMode="External"/><Relationship Id="rId49" Type="http://schemas.openxmlformats.org/officeDocument/2006/relationships/hyperlink" Target="mailto:Congtyccidhanoi@gmail.com" TargetMode="External"/><Relationship Id="rId114" Type="http://schemas.openxmlformats.org/officeDocument/2006/relationships/hyperlink" Target="mailto:leungocbich@gmail.com" TargetMode="External"/><Relationship Id="rId119" Type="http://schemas.openxmlformats.org/officeDocument/2006/relationships/hyperlink" Target="mailto:haivan0689@gmail.com" TargetMode="External"/><Relationship Id="rId44" Type="http://schemas.openxmlformats.org/officeDocument/2006/relationships/hyperlink" Target="mailto:Lienlekt@gmail.com" TargetMode="External"/><Relationship Id="rId60" Type="http://schemas.openxmlformats.org/officeDocument/2006/relationships/hyperlink" Target="mailto:phuongtrantravel@gmail.com" TargetMode="External"/><Relationship Id="rId65" Type="http://schemas.openxmlformats.org/officeDocument/2006/relationships/hyperlink" Target="mailto:truongthuhang21593@gmail.com" TargetMode="External"/><Relationship Id="rId81" Type="http://schemas.openxmlformats.org/officeDocument/2006/relationships/hyperlink" Target="mailto:thanh89.austrong@gmail.com" TargetMode="External"/><Relationship Id="rId86" Type="http://schemas.openxmlformats.org/officeDocument/2006/relationships/hyperlink" Target="mailto:memory2206@gmail.com" TargetMode="External"/><Relationship Id="rId130" Type="http://schemas.openxmlformats.org/officeDocument/2006/relationships/hyperlink" Target="mailto:agcvietnam.jsc@gmail.com" TargetMode="External"/><Relationship Id="rId135" Type="http://schemas.openxmlformats.org/officeDocument/2006/relationships/hyperlink" Target="mailto:do.yenngoc@gmail.com" TargetMode="External"/><Relationship Id="rId151" Type="http://schemas.openxmlformats.org/officeDocument/2006/relationships/hyperlink" Target="mailto:trinhthuylinhttl@gmail.com" TargetMode="External"/><Relationship Id="rId13" Type="http://schemas.openxmlformats.org/officeDocument/2006/relationships/hyperlink" Target="mailto:tuyetthucit@gmail.com" TargetMode="External"/><Relationship Id="rId18" Type="http://schemas.openxmlformats.org/officeDocument/2006/relationships/hyperlink" Target="mailto:Chudiemhuong@gmail.com" TargetMode="External"/><Relationship Id="rId39" Type="http://schemas.openxmlformats.org/officeDocument/2006/relationships/hyperlink" Target="mailto:ketoansonlam@gmail.com" TargetMode="External"/><Relationship Id="rId109" Type="http://schemas.openxmlformats.org/officeDocument/2006/relationships/hyperlink" Target="mailto:Phatlocfood@gmail.com" TargetMode="External"/><Relationship Id="rId34" Type="http://schemas.openxmlformats.org/officeDocument/2006/relationships/hyperlink" Target="mailto:ketoansuma@sumatechvn.com" TargetMode="External"/><Relationship Id="rId50" Type="http://schemas.openxmlformats.org/officeDocument/2006/relationships/hyperlink" Target="mailto:Nga.nguyen@goldengate.biz.vn" TargetMode="External"/><Relationship Id="rId55" Type="http://schemas.openxmlformats.org/officeDocument/2006/relationships/hyperlink" Target="mailto:hoangphi2838@gmail.com" TargetMode="External"/><Relationship Id="rId76" Type="http://schemas.openxmlformats.org/officeDocument/2006/relationships/hyperlink" Target="mailto:ketoan@codienvimax.vn" TargetMode="External"/><Relationship Id="rId97" Type="http://schemas.openxmlformats.org/officeDocument/2006/relationships/hyperlink" Target="mailto:vinakingtrading@gmail.com" TargetMode="External"/><Relationship Id="rId104" Type="http://schemas.openxmlformats.org/officeDocument/2006/relationships/hyperlink" Target="mailto:nguyenducminh0908@gmail.com" TargetMode="External"/><Relationship Id="rId120" Type="http://schemas.openxmlformats.org/officeDocument/2006/relationships/hyperlink" Target="mailto:lananhhn106@gmail.com" TargetMode="External"/><Relationship Id="rId125" Type="http://schemas.openxmlformats.org/officeDocument/2006/relationships/hyperlink" Target="mailto:sales@ntech.com.vn" TargetMode="External"/><Relationship Id="rId141" Type="http://schemas.openxmlformats.org/officeDocument/2006/relationships/hyperlink" Target="mailto:dautuvnplus@gmail.com" TargetMode="External"/><Relationship Id="rId146" Type="http://schemas.openxmlformats.org/officeDocument/2006/relationships/hyperlink" Target="mailto:suhoangngan@gmail.com" TargetMode="External"/><Relationship Id="rId7" Type="http://schemas.openxmlformats.org/officeDocument/2006/relationships/hyperlink" Target="mailto:daothiphuongloan85@gmail.com" TargetMode="External"/><Relationship Id="rId71" Type="http://schemas.openxmlformats.org/officeDocument/2006/relationships/hyperlink" Target="mailto:havt@ahn.com.vn" TargetMode="External"/><Relationship Id="rId92" Type="http://schemas.openxmlformats.org/officeDocument/2006/relationships/hyperlink" Target="mailto:Huyenntt@mik.vn" TargetMode="External"/><Relationship Id="rId2" Type="http://schemas.openxmlformats.org/officeDocument/2006/relationships/hyperlink" Target="mailto:anthuy2407@gmail.com" TargetMode="External"/><Relationship Id="rId29" Type="http://schemas.openxmlformats.org/officeDocument/2006/relationships/hyperlink" Target="mailto:thuy84tt@gmail.com" TargetMode="External"/><Relationship Id="rId24" Type="http://schemas.openxmlformats.org/officeDocument/2006/relationships/hyperlink" Target="mailto:hoangls@laf.vn" TargetMode="External"/><Relationship Id="rId40" Type="http://schemas.openxmlformats.org/officeDocument/2006/relationships/hyperlink" Target="mailto:letrangk8@gmail.com" TargetMode="External"/><Relationship Id="rId45" Type="http://schemas.openxmlformats.org/officeDocument/2006/relationships/hyperlink" Target="mailto:Trinhtram272@gmail.com" TargetMode="External"/><Relationship Id="rId66" Type="http://schemas.openxmlformats.org/officeDocument/2006/relationships/hyperlink" Target="mailto:truongthuhang21593@gmail.com" TargetMode="External"/><Relationship Id="rId87" Type="http://schemas.openxmlformats.org/officeDocument/2006/relationships/hyperlink" Target="mailto:tranhoa2305@gmail.com" TargetMode="External"/><Relationship Id="rId110" Type="http://schemas.openxmlformats.org/officeDocument/2006/relationships/hyperlink" Target="mailto:laphv.tlp@gmail.com" TargetMode="External"/><Relationship Id="rId115" Type="http://schemas.openxmlformats.org/officeDocument/2006/relationships/hyperlink" Target="mailto:Huekbs@gmail.com" TargetMode="External"/><Relationship Id="rId131" Type="http://schemas.openxmlformats.org/officeDocument/2006/relationships/hyperlink" Target="mailto:ketoanphuthanh99@gmail.com" TargetMode="External"/><Relationship Id="rId136" Type="http://schemas.openxmlformats.org/officeDocument/2006/relationships/hyperlink" Target="mailto:ketoan.saito@gmail.com" TargetMode="External"/><Relationship Id="rId61" Type="http://schemas.openxmlformats.org/officeDocument/2006/relationships/hyperlink" Target="mailto:nbzun82@gmail.com" TargetMode="External"/><Relationship Id="rId82" Type="http://schemas.openxmlformats.org/officeDocument/2006/relationships/hyperlink" Target="mailto:thanh89.austrong@gmail.com" TargetMode="External"/><Relationship Id="rId152" Type="http://schemas.openxmlformats.org/officeDocument/2006/relationships/hyperlink" Target="mailto:truongminhhanoi123@gmail.com" TargetMode="External"/><Relationship Id="rId19" Type="http://schemas.openxmlformats.org/officeDocument/2006/relationships/hyperlink" Target="mailto:quanda08mail@gmail.com" TargetMode="External"/><Relationship Id="rId14" Type="http://schemas.openxmlformats.org/officeDocument/2006/relationships/hyperlink" Target="mailto:levannulv8812@gmail.com" TargetMode="External"/><Relationship Id="rId30" Type="http://schemas.openxmlformats.org/officeDocument/2006/relationships/hyperlink" Target="mailto:caoluongly@gmail.com" TargetMode="External"/><Relationship Id="rId35" Type="http://schemas.openxmlformats.org/officeDocument/2006/relationships/hyperlink" Target="mailto:vuleduyen@gmail.com" TargetMode="External"/><Relationship Id="rId56" Type="http://schemas.openxmlformats.org/officeDocument/2006/relationships/hyperlink" Target="mailto:vesinhhoamy@gmail.com" TargetMode="External"/><Relationship Id="rId77" Type="http://schemas.openxmlformats.org/officeDocument/2006/relationships/hyperlink" Target="mailto:ngovanthuc88@gmail.com" TargetMode="External"/><Relationship Id="rId100" Type="http://schemas.openxmlformats.org/officeDocument/2006/relationships/hyperlink" Target="mailto:kimthoa.tb92@gmail.com" TargetMode="External"/><Relationship Id="rId105" Type="http://schemas.openxmlformats.org/officeDocument/2006/relationships/hyperlink" Target="mailto:Oanh.daivu@gmail.com" TargetMode="External"/><Relationship Id="rId126" Type="http://schemas.openxmlformats.org/officeDocument/2006/relationships/hyperlink" Target="mailto:baoan356@gmail.com" TargetMode="External"/><Relationship Id="rId147" Type="http://schemas.openxmlformats.org/officeDocument/2006/relationships/hyperlink" Target="mailto:nthang09.han@gdt.gov.vn" TargetMode="External"/><Relationship Id="rId8" Type="http://schemas.openxmlformats.org/officeDocument/2006/relationships/hyperlink" Target="mailto:huongnt@vietmaphanoi.vn" TargetMode="External"/><Relationship Id="rId51" Type="http://schemas.openxmlformats.org/officeDocument/2006/relationships/hyperlink" Target="mailto:kap.vantai@gmail.com" TargetMode="External"/><Relationship Id="rId72" Type="http://schemas.openxmlformats.org/officeDocument/2006/relationships/hyperlink" Target="mailto:Halinhcph@gmail.com" TargetMode="External"/><Relationship Id="rId93" Type="http://schemas.openxmlformats.org/officeDocument/2006/relationships/hyperlink" Target="mailto:Huong.49neu@gmail.com" TargetMode="External"/><Relationship Id="rId98" Type="http://schemas.openxmlformats.org/officeDocument/2006/relationships/hyperlink" Target="mailto:Tranghoathuan07@gmail.com" TargetMode="External"/><Relationship Id="rId121" Type="http://schemas.openxmlformats.org/officeDocument/2006/relationships/hyperlink" Target="mailto:hienchi.ng2014@gmail.com" TargetMode="External"/><Relationship Id="rId142" Type="http://schemas.openxmlformats.org/officeDocument/2006/relationships/hyperlink" Target="mailto:Kientv1980@gmail.com" TargetMode="External"/><Relationship Id="rId3" Type="http://schemas.openxmlformats.org/officeDocument/2006/relationships/hyperlink" Target="mailto:duongktiq@gmail.com" TargetMode="External"/><Relationship Id="rId25" Type="http://schemas.openxmlformats.org/officeDocument/2006/relationships/hyperlink" Target="mailto:locntct55@gmail.com" TargetMode="External"/><Relationship Id="rId46" Type="http://schemas.openxmlformats.org/officeDocument/2006/relationships/hyperlink" Target="mailto:congtytiepmy@gmail.com" TargetMode="External"/><Relationship Id="rId67" Type="http://schemas.openxmlformats.org/officeDocument/2006/relationships/hyperlink" Target="mailto:phucienco8iec@gmail.com" TargetMode="External"/><Relationship Id="rId116" Type="http://schemas.openxmlformats.org/officeDocument/2006/relationships/hyperlink" Target="mailto:Huekbs@gmail.com" TargetMode="External"/><Relationship Id="rId137" Type="http://schemas.openxmlformats.org/officeDocument/2006/relationships/hyperlink" Target="mailto:ketoan.saito@gmail.com" TargetMode="External"/><Relationship Id="rId20" Type="http://schemas.openxmlformats.org/officeDocument/2006/relationships/hyperlink" Target="mailto:tuvanbacsy115@gmail.com" TargetMode="External"/><Relationship Id="rId41" Type="http://schemas.openxmlformats.org/officeDocument/2006/relationships/hyperlink" Target="mailto:diepanhdv@gmail.com." TargetMode="External"/><Relationship Id="rId62" Type="http://schemas.openxmlformats.org/officeDocument/2006/relationships/hyperlink" Target="mailto:chikinhbac@gmail.com" TargetMode="External"/><Relationship Id="rId83" Type="http://schemas.openxmlformats.org/officeDocument/2006/relationships/hyperlink" Target="mailto:dovankhoa2008@gmail.com%20(Cty%20H&#224;%20N&#7897;i%20Xanh)" TargetMode="External"/><Relationship Id="rId88" Type="http://schemas.openxmlformats.org/officeDocument/2006/relationships/hyperlink" Target="mailto:Nguyen.trang.dth@gmail.com" TargetMode="External"/><Relationship Id="rId111" Type="http://schemas.openxmlformats.org/officeDocument/2006/relationships/hyperlink" Target="mailto:luyensoeco@gmail.com" TargetMode="External"/><Relationship Id="rId132" Type="http://schemas.openxmlformats.org/officeDocument/2006/relationships/hyperlink" Target="mailto:thuytran0571@gmail.com" TargetMode="External"/><Relationship Id="rId153" Type="http://schemas.openxmlformats.org/officeDocument/2006/relationships/hyperlink" Target="mailto:Xebushanghoa@gmail.com" TargetMode="External"/><Relationship Id="rId15" Type="http://schemas.openxmlformats.org/officeDocument/2006/relationships/hyperlink" Target="mailto:trang.hoang@ngs.com.vn" TargetMode="External"/><Relationship Id="rId36" Type="http://schemas.openxmlformats.org/officeDocument/2006/relationships/hyperlink" Target="mailto:tranquang820@gmail.com" TargetMode="External"/><Relationship Id="rId57" Type="http://schemas.openxmlformats.org/officeDocument/2006/relationships/hyperlink" Target="mailto:ctysuoingoc2015@gmail.com" TargetMode="External"/><Relationship Id="rId106" Type="http://schemas.openxmlformats.org/officeDocument/2006/relationships/hyperlink" Target="mailto:Tranductrinh1987@gmail.com" TargetMode="External"/><Relationship Id="rId127" Type="http://schemas.openxmlformats.org/officeDocument/2006/relationships/hyperlink" Target="mailto:leungocbich@gmail.com" TargetMode="External"/><Relationship Id="rId10" Type="http://schemas.openxmlformats.org/officeDocument/2006/relationships/hyperlink" Target="mailto:dienmaytuanminh88@gmail.com" TargetMode="External"/><Relationship Id="rId31" Type="http://schemas.openxmlformats.org/officeDocument/2006/relationships/hyperlink" Target="mailto:duocnhatloc@gmail.com" TargetMode="External"/><Relationship Id="rId52" Type="http://schemas.openxmlformats.org/officeDocument/2006/relationships/hyperlink" Target="mailto:Doantrang.2203@gmail.com" TargetMode="External"/><Relationship Id="rId73" Type="http://schemas.openxmlformats.org/officeDocument/2006/relationships/hyperlink" Target="mailto:tranlan.haiminh@gmail.com" TargetMode="External"/><Relationship Id="rId78" Type="http://schemas.openxmlformats.org/officeDocument/2006/relationships/hyperlink" Target="mailto:hangtran.hn1978@gmail.com" TargetMode="External"/><Relationship Id="rId94" Type="http://schemas.openxmlformats.org/officeDocument/2006/relationships/hyperlink" Target="mailto:Mrthang0108@gmail.com" TargetMode="External"/><Relationship Id="rId99" Type="http://schemas.openxmlformats.org/officeDocument/2006/relationships/hyperlink" Target="mailto:luyensoeco@gmail.com" TargetMode="External"/><Relationship Id="rId101" Type="http://schemas.openxmlformats.org/officeDocument/2006/relationships/hyperlink" Target="mailto:ketoan@mobileplus.vn" TargetMode="External"/><Relationship Id="rId122" Type="http://schemas.openxmlformats.org/officeDocument/2006/relationships/hyperlink" Target="mailto:nguyensim22@gmail.com" TargetMode="External"/><Relationship Id="rId143" Type="http://schemas.openxmlformats.org/officeDocument/2006/relationships/hyperlink" Target="mailto:Evapcompany@gmail.com" TargetMode="External"/><Relationship Id="rId148" Type="http://schemas.openxmlformats.org/officeDocument/2006/relationships/hyperlink" Target="mailto:doanhnguyet81@gmail.com0983837486" TargetMode="External"/><Relationship Id="rId4" Type="http://schemas.openxmlformats.org/officeDocument/2006/relationships/hyperlink" Target="mailto:duongktiq@gmail.com" TargetMode="External"/><Relationship Id="rId9" Type="http://schemas.openxmlformats.org/officeDocument/2006/relationships/hyperlink" Target="mailto:luulinh32@yahoo.com" TargetMode="External"/><Relationship Id="rId26" Type="http://schemas.openxmlformats.org/officeDocument/2006/relationships/hyperlink" Target="mailto:thuynguyenct55@gmail.com" TargetMode="External"/><Relationship Id="rId47" Type="http://schemas.openxmlformats.org/officeDocument/2006/relationships/hyperlink" Target="mailto:nguyengiangg8@gmail.com" TargetMode="External"/><Relationship Id="rId68" Type="http://schemas.openxmlformats.org/officeDocument/2006/relationships/hyperlink" Target="http://vietstreet.vn/category/he-thong-nha-hang/" TargetMode="External"/><Relationship Id="rId89" Type="http://schemas.openxmlformats.org/officeDocument/2006/relationships/hyperlink" Target="mailto:Nguyenhueftd@gmail.com" TargetMode="External"/><Relationship Id="rId112" Type="http://schemas.openxmlformats.org/officeDocument/2006/relationships/hyperlink" Target="mailto:trangensco@gmail.com" TargetMode="External"/><Relationship Id="rId133" Type="http://schemas.openxmlformats.org/officeDocument/2006/relationships/hyperlink" Target="mailto:sales@ntech.com.vn" TargetMode="External"/><Relationship Id="rId154" Type="http://schemas.openxmlformats.org/officeDocument/2006/relationships/hyperlink" Target="mailto:acc-han@hanlogs.com" TargetMode="External"/><Relationship Id="rId16" Type="http://schemas.openxmlformats.org/officeDocument/2006/relationships/hyperlink" Target="mailto:Chudiemhuong@gmail.com" TargetMode="External"/><Relationship Id="rId37" Type="http://schemas.openxmlformats.org/officeDocument/2006/relationships/hyperlink" Target="mailto:tranquang820@gmail.com" TargetMode="External"/><Relationship Id="rId58" Type="http://schemas.openxmlformats.org/officeDocument/2006/relationships/hyperlink" Target="mailto:Phamlansang@gmail.com" TargetMode="External"/><Relationship Id="rId79" Type="http://schemas.openxmlformats.org/officeDocument/2006/relationships/hyperlink" Target="mailto:dongvuinfo@gmail.com" TargetMode="External"/><Relationship Id="rId102" Type="http://schemas.openxmlformats.org/officeDocument/2006/relationships/hyperlink" Target="mailto:congtyxdhuyhieu@gmail.com" TargetMode="External"/><Relationship Id="rId123" Type="http://schemas.openxmlformats.org/officeDocument/2006/relationships/hyperlink" Target="mailto:tnvietnam.kh@gmail.com" TargetMode="External"/><Relationship Id="rId144" Type="http://schemas.openxmlformats.org/officeDocument/2006/relationships/hyperlink" Target="mailto:Nguyenluong05@gmail.com" TargetMode="External"/><Relationship Id="rId90" Type="http://schemas.openxmlformats.org/officeDocument/2006/relationships/hyperlink" Target="mailto:Kimhoanganh2009@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ketoanthuctegiaminh@gmail.com" TargetMode="External"/><Relationship Id="rId13" Type="http://schemas.openxmlformats.org/officeDocument/2006/relationships/printerSettings" Target="../printerSettings/printerSettings7.bin"/><Relationship Id="rId3" Type="http://schemas.openxmlformats.org/officeDocument/2006/relationships/hyperlink" Target="mailto:ketoanthuctegiaminh@gmail.com" TargetMode="External"/><Relationship Id="rId7" Type="http://schemas.openxmlformats.org/officeDocument/2006/relationships/hyperlink" Target="mailto:Kimdung3959@gmail.com" TargetMode="External"/><Relationship Id="rId12" Type="http://schemas.openxmlformats.org/officeDocument/2006/relationships/hyperlink" Target="mailto:phianhtrung@trungquanmedia.com" TargetMode="External"/><Relationship Id="rId2" Type="http://schemas.openxmlformats.org/officeDocument/2006/relationships/hyperlink" Target="mailto:trinhtusan@gmail.com" TargetMode="External"/><Relationship Id="rId1" Type="http://schemas.openxmlformats.org/officeDocument/2006/relationships/hyperlink" Target="mailto:donghavpl@yahoo.com.vn" TargetMode="External"/><Relationship Id="rId6" Type="http://schemas.openxmlformats.org/officeDocument/2006/relationships/hyperlink" Target="mailto:thietbiyteanphat@gmail.com" TargetMode="External"/><Relationship Id="rId11" Type="http://schemas.openxmlformats.org/officeDocument/2006/relationships/hyperlink" Target="mailto:ketoanthuctegiaminh@gmail.com" TargetMode="External"/><Relationship Id="rId5" Type="http://schemas.openxmlformats.org/officeDocument/2006/relationships/hyperlink" Target="mailto:dienmaytuanminh88@gmail.com" TargetMode="External"/><Relationship Id="rId10" Type="http://schemas.openxmlformats.org/officeDocument/2006/relationships/hyperlink" Target="mailto:Baningreetech@gmail.com" TargetMode="External"/><Relationship Id="rId4" Type="http://schemas.openxmlformats.org/officeDocument/2006/relationships/hyperlink" Target="mailto:Quatangytuongvang02@gmail.com" TargetMode="External"/><Relationship Id="rId9" Type="http://schemas.openxmlformats.org/officeDocument/2006/relationships/hyperlink" Target="mailto:Trinhhue82@gmail.com" TargetMode="External"/><Relationship Id="rId1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mailto:nguyenvantien02021969.hp@gmail.com" TargetMode="External"/><Relationship Id="rId21" Type="http://schemas.openxmlformats.org/officeDocument/2006/relationships/hyperlink" Target="mailto:maihuongbn8@gmail.com" TargetMode="External"/><Relationship Id="rId42" Type="http://schemas.openxmlformats.org/officeDocument/2006/relationships/hyperlink" Target="mailto:Phuongmai92011@gmail.com" TargetMode="External"/><Relationship Id="rId47" Type="http://schemas.openxmlformats.org/officeDocument/2006/relationships/hyperlink" Target="mailto:quynh.demesco@gmail.com" TargetMode="External"/><Relationship Id="rId63" Type="http://schemas.openxmlformats.org/officeDocument/2006/relationships/hyperlink" Target="mailto:nhatanh@inmoteck.com" TargetMode="External"/><Relationship Id="rId68" Type="http://schemas.openxmlformats.org/officeDocument/2006/relationships/hyperlink" Target="mailto:duthuyenpelican@gmail.com" TargetMode="External"/><Relationship Id="rId84" Type="http://schemas.openxmlformats.org/officeDocument/2006/relationships/hyperlink" Target="mailto:camtien2508@gmail.com" TargetMode="External"/><Relationship Id="rId89" Type="http://schemas.openxmlformats.org/officeDocument/2006/relationships/hyperlink" Target="mailto:unionvietnam2016@gmail.com" TargetMode="External"/><Relationship Id="rId112" Type="http://schemas.openxmlformats.org/officeDocument/2006/relationships/hyperlink" Target="mailto:baonhanngo.kt@gmail.com" TargetMode="External"/><Relationship Id="rId16" Type="http://schemas.openxmlformats.org/officeDocument/2006/relationships/hyperlink" Target="mailto:nguyenquoclam76n@gmail.com" TargetMode="External"/><Relationship Id="rId107" Type="http://schemas.openxmlformats.org/officeDocument/2006/relationships/hyperlink" Target="mailto:linhtd@z76.vn" TargetMode="External"/><Relationship Id="rId11" Type="http://schemas.openxmlformats.org/officeDocument/2006/relationships/hyperlink" Target="mailto:chudiemhuong@gmail.com" TargetMode="External"/><Relationship Id="rId32" Type="http://schemas.openxmlformats.org/officeDocument/2006/relationships/hyperlink" Target="mailto:duongktiq@gmail.com" TargetMode="External"/><Relationship Id="rId37" Type="http://schemas.openxmlformats.org/officeDocument/2006/relationships/hyperlink" Target="mailto:congnghephanmemnsoft@gmail.com" TargetMode="External"/><Relationship Id="rId53" Type="http://schemas.openxmlformats.org/officeDocument/2006/relationships/hyperlink" Target="mailto:chudiemhuong@gmail.com" TargetMode="External"/><Relationship Id="rId58" Type="http://schemas.openxmlformats.org/officeDocument/2006/relationships/hyperlink" Target="mailto:lsxuanthu2018@gmail.com" TargetMode="External"/><Relationship Id="rId74" Type="http://schemas.openxmlformats.org/officeDocument/2006/relationships/hyperlink" Target="mailto:congchunganphu@gmail.com" TargetMode="External"/><Relationship Id="rId79" Type="http://schemas.openxmlformats.org/officeDocument/2006/relationships/hyperlink" Target="mailto:thehe2009@gmail.com" TargetMode="External"/><Relationship Id="rId102" Type="http://schemas.openxmlformats.org/officeDocument/2006/relationships/hyperlink" Target="mailto:enteco.vn@gmail.com" TargetMode="External"/><Relationship Id="rId5" Type="http://schemas.openxmlformats.org/officeDocument/2006/relationships/hyperlink" Target="mailto:vppthaiha@gmail.com" TargetMode="External"/><Relationship Id="rId90" Type="http://schemas.openxmlformats.org/officeDocument/2006/relationships/hyperlink" Target="mailto:lelam210666@gmail.com" TargetMode="External"/><Relationship Id="rId95" Type="http://schemas.openxmlformats.org/officeDocument/2006/relationships/hyperlink" Target="mailto:nga.nguyen@vietnambizcare.com" TargetMode="External"/><Relationship Id="rId22" Type="http://schemas.openxmlformats.org/officeDocument/2006/relationships/hyperlink" Target="mailto:duongktiq@gmail.com" TargetMode="External"/><Relationship Id="rId27" Type="http://schemas.openxmlformats.org/officeDocument/2006/relationships/hyperlink" Target="mailto:baobikienanacc@gmail.com" TargetMode="External"/><Relationship Id="rId43" Type="http://schemas.openxmlformats.org/officeDocument/2006/relationships/hyperlink" Target="mailto:Thutrang.nguyen@vtccomtech.com" TargetMode="External"/><Relationship Id="rId48" Type="http://schemas.openxmlformats.org/officeDocument/2006/relationships/hyperlink" Target="mailto:chudiemhuong@gmail.com" TargetMode="External"/><Relationship Id="rId64" Type="http://schemas.openxmlformats.org/officeDocument/2006/relationships/hyperlink" Target="mailto:Thaotran0105@gmail.com" TargetMode="External"/><Relationship Id="rId69" Type="http://schemas.openxmlformats.org/officeDocument/2006/relationships/hyperlink" Target="mailto:phuongnguyenth.compt@gmail.com" TargetMode="External"/><Relationship Id="rId113" Type="http://schemas.openxmlformats.org/officeDocument/2006/relationships/printerSettings" Target="../printerSettings/printerSettings8.bin"/><Relationship Id="rId80" Type="http://schemas.openxmlformats.org/officeDocument/2006/relationships/hyperlink" Target="mailto:tinahuong@nitoda.com" TargetMode="External"/><Relationship Id="rId85" Type="http://schemas.openxmlformats.org/officeDocument/2006/relationships/hyperlink" Target="mailto:ketoan1@haiau.com" TargetMode="External"/><Relationship Id="rId12" Type="http://schemas.openxmlformats.org/officeDocument/2006/relationships/hyperlink" Target="mailto:luulinh32@yahoo.com" TargetMode="External"/><Relationship Id="rId17" Type="http://schemas.openxmlformats.org/officeDocument/2006/relationships/hyperlink" Target="mailto:nhungnt@vanphongpham24.com" TargetMode="External"/><Relationship Id="rId33" Type="http://schemas.openxmlformats.org/officeDocument/2006/relationships/hyperlink" Target="mailto:Chugiang270@gmail.com" TargetMode="External"/><Relationship Id="rId38" Type="http://schemas.openxmlformats.org/officeDocument/2006/relationships/hyperlink" Target="mailto:Congtyidea.hcm@gmail.com" TargetMode="External"/><Relationship Id="rId59" Type="http://schemas.openxmlformats.org/officeDocument/2006/relationships/hyperlink" Target="mailto:thuydienanpha@gmail.com" TargetMode="External"/><Relationship Id="rId103" Type="http://schemas.openxmlformats.org/officeDocument/2006/relationships/hyperlink" Target="mailto:lelam210666@gmail.com" TargetMode="External"/><Relationship Id="rId108" Type="http://schemas.openxmlformats.org/officeDocument/2006/relationships/hyperlink" Target="mailto:hadg08@gmail.com" TargetMode="External"/><Relationship Id="rId54" Type="http://schemas.openxmlformats.org/officeDocument/2006/relationships/hyperlink" Target="mailto:c27tckt@gmail.com" TargetMode="External"/><Relationship Id="rId70" Type="http://schemas.openxmlformats.org/officeDocument/2006/relationships/hyperlink" Target="mailto:dinhoanh28011997@gmail.com" TargetMode="External"/><Relationship Id="rId75" Type="http://schemas.openxmlformats.org/officeDocument/2006/relationships/hyperlink" Target="mailto:thao.nguyen@saigonfutures.com" TargetMode="External"/><Relationship Id="rId91" Type="http://schemas.openxmlformats.org/officeDocument/2006/relationships/hyperlink" Target="mailto:lelam210666@gmail.com" TargetMode="External"/><Relationship Id="rId96" Type="http://schemas.openxmlformats.org/officeDocument/2006/relationships/hyperlink" Target="mailto:kanguyen851985@gmail.com" TargetMode="External"/><Relationship Id="rId1" Type="http://schemas.openxmlformats.org/officeDocument/2006/relationships/hyperlink" Target="mailto:thaotran0105@gmail.com" TargetMode="External"/><Relationship Id="rId6" Type="http://schemas.openxmlformats.org/officeDocument/2006/relationships/hyperlink" Target="mailto:minhkhoa1980.km@gmail.com" TargetMode="External"/><Relationship Id="rId15" Type="http://schemas.openxmlformats.org/officeDocument/2006/relationships/hyperlink" Target="mailto:Xuanntl@hhg.vn" TargetMode="External"/><Relationship Id="rId23" Type="http://schemas.openxmlformats.org/officeDocument/2006/relationships/hyperlink" Target="mailto:minhkhoa1980.km@gmail.com" TargetMode="External"/><Relationship Id="rId28" Type="http://schemas.openxmlformats.org/officeDocument/2006/relationships/hyperlink" Target="mailto:thuy84tt@gmail.com" TargetMode="External"/><Relationship Id="rId36" Type="http://schemas.openxmlformats.org/officeDocument/2006/relationships/hyperlink" Target="mailto:nhiemtruong@gmail.com" TargetMode="External"/><Relationship Id="rId49" Type="http://schemas.openxmlformats.org/officeDocument/2006/relationships/hyperlink" Target="mailto:trongnd.vn@gmail.com" TargetMode="External"/><Relationship Id="rId57" Type="http://schemas.openxmlformats.org/officeDocument/2006/relationships/hyperlink" Target="mailto:maingochai.2612@gmail.com" TargetMode="External"/><Relationship Id="rId106" Type="http://schemas.openxmlformats.org/officeDocument/2006/relationships/hyperlink" Target="mailto:lehagtsl@gmail.com" TargetMode="External"/><Relationship Id="rId114" Type="http://schemas.openxmlformats.org/officeDocument/2006/relationships/drawing" Target="../drawings/drawing2.xml"/><Relationship Id="rId10" Type="http://schemas.openxmlformats.org/officeDocument/2006/relationships/hyperlink" Target="mailto:ngoctanpham@gmail.com" TargetMode="External"/><Relationship Id="rId31" Type="http://schemas.openxmlformats.org/officeDocument/2006/relationships/hyperlink" Target="mailto:duongktiq@gmail.com" TargetMode="External"/><Relationship Id="rId44" Type="http://schemas.openxmlformats.org/officeDocument/2006/relationships/hyperlink" Target="mailto:haiphongpetro@gmail.com" TargetMode="External"/><Relationship Id="rId52" Type="http://schemas.openxmlformats.org/officeDocument/2006/relationships/hyperlink" Target="mailto:thanhhien121197@gmail.com" TargetMode="External"/><Relationship Id="rId60" Type="http://schemas.openxmlformats.org/officeDocument/2006/relationships/hyperlink" Target="mailto:ketoan@khangminhauto.com.vn" TargetMode="External"/><Relationship Id="rId65" Type="http://schemas.openxmlformats.org/officeDocument/2006/relationships/hyperlink" Target="mailto:Thaotran0105@gmail.com" TargetMode="External"/><Relationship Id="rId73" Type="http://schemas.openxmlformats.org/officeDocument/2006/relationships/hyperlink" Target="mailto:hangnt1010@gmail.com" TargetMode="External"/><Relationship Id="rId78" Type="http://schemas.openxmlformats.org/officeDocument/2006/relationships/hyperlink" Target="mailto:Nante.phanhai@gmail.com" TargetMode="External"/><Relationship Id="rId81" Type="http://schemas.openxmlformats.org/officeDocument/2006/relationships/hyperlink" Target="mailto:annaphuong@nitoda.com" TargetMode="External"/><Relationship Id="rId86" Type="http://schemas.openxmlformats.org/officeDocument/2006/relationships/hyperlink" Target="mailto:cophanaba@gmail.com" TargetMode="External"/><Relationship Id="rId94" Type="http://schemas.openxmlformats.org/officeDocument/2006/relationships/hyperlink" Target="mailto:camtien2508@gmail.com" TargetMode="External"/><Relationship Id="rId99" Type="http://schemas.openxmlformats.org/officeDocument/2006/relationships/hyperlink" Target="mailto:hang.nguyen@saigonfutures.com" TargetMode="External"/><Relationship Id="rId101" Type="http://schemas.openxmlformats.org/officeDocument/2006/relationships/hyperlink" Target="mailto:Lecucriam@gmail.com" TargetMode="External"/><Relationship Id="rId4" Type="http://schemas.openxmlformats.org/officeDocument/2006/relationships/hyperlink" Target="mailto:sangbv@thienhacorp.com" TargetMode="External"/><Relationship Id="rId9" Type="http://schemas.openxmlformats.org/officeDocument/2006/relationships/hyperlink" Target="mailto:hanhtm@hemera.vn" TargetMode="External"/><Relationship Id="rId13" Type="http://schemas.openxmlformats.org/officeDocument/2006/relationships/hyperlink" Target="mailto:luulinh32@yahoo.com" TargetMode="External"/><Relationship Id="rId18" Type="http://schemas.openxmlformats.org/officeDocument/2006/relationships/hyperlink" Target="mailto:thuyhangb2002@gmail.com" TargetMode="External"/><Relationship Id="rId39" Type="http://schemas.openxmlformats.org/officeDocument/2006/relationships/hyperlink" Target="mailto:huyen.nguyenthu78@gmail.com" TargetMode="External"/><Relationship Id="rId109" Type="http://schemas.openxmlformats.org/officeDocument/2006/relationships/hyperlink" Target="mailto:hau_tc@yahoo.com.vn" TargetMode="External"/><Relationship Id="rId34" Type="http://schemas.openxmlformats.org/officeDocument/2006/relationships/hyperlink" Target="mailto:thuyhangb2002@gmail.com" TargetMode="External"/><Relationship Id="rId50" Type="http://schemas.openxmlformats.org/officeDocument/2006/relationships/hyperlink" Target="mailto:nguyentmaithu18@gmail.com" TargetMode="External"/><Relationship Id="rId55" Type="http://schemas.openxmlformats.org/officeDocument/2006/relationships/hyperlink" Target="mailto:hadg08@gmail.com" TargetMode="External"/><Relationship Id="rId76" Type="http://schemas.openxmlformats.org/officeDocument/2006/relationships/hyperlink" Target="mailto:dothiphuong1986@gmail.com" TargetMode="External"/><Relationship Id="rId97" Type="http://schemas.openxmlformats.org/officeDocument/2006/relationships/hyperlink" Target="mailto:kanguyen851985@gmail.com" TargetMode="External"/><Relationship Id="rId104" Type="http://schemas.openxmlformats.org/officeDocument/2006/relationships/hyperlink" Target="mailto:pact.vn@gmail.com" TargetMode="External"/><Relationship Id="rId7" Type="http://schemas.openxmlformats.org/officeDocument/2006/relationships/hyperlink" Target="mailto:mertransluxvn@gmail.com" TargetMode="External"/><Relationship Id="rId71" Type="http://schemas.openxmlformats.org/officeDocument/2006/relationships/hyperlink" Target="mailto:chudiemhuong@gmail.com" TargetMode="External"/><Relationship Id="rId92" Type="http://schemas.openxmlformats.org/officeDocument/2006/relationships/hyperlink" Target="mailto:hang.nguyen@saigonfutures.com" TargetMode="External"/><Relationship Id="rId2" Type="http://schemas.openxmlformats.org/officeDocument/2006/relationships/hyperlink" Target="mailto:hongdiep1406@gmail.com" TargetMode="External"/><Relationship Id="rId29" Type="http://schemas.openxmlformats.org/officeDocument/2006/relationships/hyperlink" Target="mailto:dienmaytuanminh88@gmail.com" TargetMode="External"/><Relationship Id="rId24" Type="http://schemas.openxmlformats.org/officeDocument/2006/relationships/hyperlink" Target="mailto:truyenthong.vicgroup@gmail.com" TargetMode="External"/><Relationship Id="rId40" Type="http://schemas.openxmlformats.org/officeDocument/2006/relationships/hyperlink" Target="mailto:nvhai@crucialtecvina.com" TargetMode="External"/><Relationship Id="rId45" Type="http://schemas.openxmlformats.org/officeDocument/2006/relationships/hyperlink" Target="mailto:chudiemhuong@gmail.com" TargetMode="External"/><Relationship Id="rId66" Type="http://schemas.openxmlformats.org/officeDocument/2006/relationships/hyperlink" Target="mailto:chudiemhuong@gmail.com" TargetMode="External"/><Relationship Id="rId87" Type="http://schemas.openxmlformats.org/officeDocument/2006/relationships/hyperlink" Target="mailto:Bichlien17kdcn@gmail.com" TargetMode="External"/><Relationship Id="rId110" Type="http://schemas.openxmlformats.org/officeDocument/2006/relationships/hyperlink" Target="mailto:luyensoeco@gmail.com" TargetMode="External"/><Relationship Id="rId61" Type="http://schemas.openxmlformats.org/officeDocument/2006/relationships/hyperlink" Target="mailto:nguyenlan.kbcorp@gmail.com" TargetMode="External"/><Relationship Id="rId82" Type="http://schemas.openxmlformats.org/officeDocument/2006/relationships/hyperlink" Target="mailto:khanhthu101975@gmail.com" TargetMode="External"/><Relationship Id="rId19" Type="http://schemas.openxmlformats.org/officeDocument/2006/relationships/hyperlink" Target="mailto:nguyenvantien02021969.hp@gmail.com" TargetMode="External"/><Relationship Id="rId14" Type="http://schemas.openxmlformats.org/officeDocument/2006/relationships/hyperlink" Target="mailto:thuhoai@securemetric.com.vn" TargetMode="External"/><Relationship Id="rId30" Type="http://schemas.openxmlformats.org/officeDocument/2006/relationships/hyperlink" Target="mailto:thuongkt1994@gmail.com" TargetMode="External"/><Relationship Id="rId35" Type="http://schemas.openxmlformats.org/officeDocument/2006/relationships/hyperlink" Target="mailto:duongktiq@gmail.com" TargetMode="External"/><Relationship Id="rId56" Type="http://schemas.openxmlformats.org/officeDocument/2006/relationships/hyperlink" Target="mailto:acc5@fareastvacation.com" TargetMode="External"/><Relationship Id="rId77" Type="http://schemas.openxmlformats.org/officeDocument/2006/relationships/hyperlink" Target="mailto:Ketoankiemtoan911@gmail.com" TargetMode="External"/><Relationship Id="rId100" Type="http://schemas.openxmlformats.org/officeDocument/2006/relationships/hyperlink" Target="mailto:Mailinhfoyer@gmail.com" TargetMode="External"/><Relationship Id="rId105" Type="http://schemas.openxmlformats.org/officeDocument/2006/relationships/hyperlink" Target="mailto:ketoandoosung@gmail.comH" TargetMode="External"/><Relationship Id="rId8" Type="http://schemas.openxmlformats.org/officeDocument/2006/relationships/hyperlink" Target="mailto:hienhm@mik.vn" TargetMode="External"/><Relationship Id="rId51" Type="http://schemas.openxmlformats.org/officeDocument/2006/relationships/hyperlink" Target="mailto:nhanvithi@gmail.com" TargetMode="External"/><Relationship Id="rId72" Type="http://schemas.openxmlformats.org/officeDocument/2006/relationships/hyperlink" Target="mailto:thuy84tt@gmail.com" TargetMode="External"/><Relationship Id="rId93" Type="http://schemas.openxmlformats.org/officeDocument/2006/relationships/hyperlink" Target="mailto:phuonghoangquangninh@gmail.com" TargetMode="External"/><Relationship Id="rId98" Type="http://schemas.openxmlformats.org/officeDocument/2006/relationships/hyperlink" Target="mailto:kris.trang88@gmail.com" TargetMode="External"/><Relationship Id="rId3" Type="http://schemas.openxmlformats.org/officeDocument/2006/relationships/hyperlink" Target="mailto:donghavpl@yahoo.com.vn" TargetMode="External"/><Relationship Id="rId25" Type="http://schemas.openxmlformats.org/officeDocument/2006/relationships/hyperlink" Target="mailto:dnhunganhtn@gmail.com" TargetMode="External"/><Relationship Id="rId46" Type="http://schemas.openxmlformats.org/officeDocument/2006/relationships/hyperlink" Target="mailto:quynh.demesco@gmail.com" TargetMode="External"/><Relationship Id="rId67" Type="http://schemas.openxmlformats.org/officeDocument/2006/relationships/hyperlink" Target="mailto:huecdc@gmail.com" TargetMode="External"/><Relationship Id="rId20" Type="http://schemas.openxmlformats.org/officeDocument/2006/relationships/hyperlink" Target="mailto:hoaihuongtn@gmail.com" TargetMode="External"/><Relationship Id="rId41" Type="http://schemas.openxmlformats.org/officeDocument/2006/relationships/hyperlink" Target="mailto:xuanly.912@gmail.com" TargetMode="External"/><Relationship Id="rId62" Type="http://schemas.openxmlformats.org/officeDocument/2006/relationships/hyperlink" Target="mailto:vtthuong@em-texco.com" TargetMode="External"/><Relationship Id="rId83" Type="http://schemas.openxmlformats.org/officeDocument/2006/relationships/hyperlink" Target="mailto:ngocha2886@gmail.com" TargetMode="External"/><Relationship Id="rId88" Type="http://schemas.openxmlformats.org/officeDocument/2006/relationships/hyperlink" Target="mailto:thuongkt1994@gmail.com" TargetMode="External"/><Relationship Id="rId111" Type="http://schemas.openxmlformats.org/officeDocument/2006/relationships/hyperlink" Target="mailto:Trungthinhvt202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zoomScaleNormal="100" workbookViewId="0">
      <selection activeCell="A4" sqref="A4"/>
    </sheetView>
  </sheetViews>
  <sheetFormatPr defaultRowHeight="15" x14ac:dyDescent="0.25"/>
  <cols>
    <col min="3" max="3" width="24.85546875" customWidth="1"/>
    <col min="7" max="7" width="27.140625" customWidth="1"/>
    <col min="8" max="9" width="15" customWidth="1"/>
    <col min="10" max="12" width="0" hidden="1" customWidth="1"/>
    <col min="16" max="16" width="14.7109375" customWidth="1"/>
    <col min="17" max="17" width="13" customWidth="1"/>
    <col min="18" max="18" width="15.140625" customWidth="1"/>
    <col min="23" max="23" width="13.7109375" customWidth="1"/>
    <col min="25" max="25" width="14.28515625" customWidth="1"/>
    <col min="26" max="26" width="12.7109375" customWidth="1"/>
    <col min="27" max="27" width="13.140625" customWidth="1"/>
  </cols>
  <sheetData>
    <row r="1" spans="1:30" ht="18.75" x14ac:dyDescent="0.25">
      <c r="A1" s="177"/>
      <c r="B1" s="819" t="s">
        <v>7</v>
      </c>
      <c r="C1" s="819"/>
      <c r="D1" s="819"/>
      <c r="E1" s="819"/>
      <c r="F1" s="819"/>
      <c r="G1" s="819"/>
      <c r="H1" s="819"/>
      <c r="I1" s="819"/>
      <c r="J1" s="819"/>
      <c r="K1" s="819"/>
      <c r="L1" s="819"/>
      <c r="M1" s="819"/>
      <c r="N1" s="819"/>
      <c r="O1" s="819"/>
      <c r="P1" s="819"/>
      <c r="Q1" s="819"/>
      <c r="R1" s="178"/>
      <c r="S1" s="179"/>
      <c r="T1" s="180"/>
      <c r="U1" s="180"/>
      <c r="V1" s="180"/>
      <c r="W1" s="180"/>
      <c r="X1" s="180"/>
      <c r="Y1" s="180"/>
      <c r="Z1" s="180"/>
      <c r="AA1" s="180"/>
      <c r="AB1" s="181"/>
      <c r="AC1" s="181"/>
      <c r="AD1" s="181"/>
    </row>
    <row r="2" spans="1:30" ht="18.75" x14ac:dyDescent="0.25">
      <c r="A2" s="177"/>
      <c r="B2" s="820" t="s">
        <v>8</v>
      </c>
      <c r="C2" s="820"/>
      <c r="D2" s="820"/>
      <c r="E2" s="820"/>
      <c r="F2" s="820"/>
      <c r="G2" s="820"/>
      <c r="H2" s="820"/>
      <c r="I2" s="820"/>
      <c r="J2" s="820"/>
      <c r="K2" s="820"/>
      <c r="L2" s="820"/>
      <c r="M2" s="820"/>
      <c r="N2" s="820"/>
      <c r="O2" s="820"/>
      <c r="P2" s="820"/>
      <c r="Q2" s="820"/>
      <c r="R2" s="182"/>
      <c r="S2" s="179"/>
      <c r="T2" s="180"/>
      <c r="U2" s="180"/>
      <c r="V2" s="180"/>
      <c r="W2" s="180"/>
      <c r="X2" s="180"/>
      <c r="Y2" s="180"/>
      <c r="Z2" s="180"/>
      <c r="AA2" s="180"/>
      <c r="AB2" s="181"/>
      <c r="AC2" s="181"/>
      <c r="AD2" s="181"/>
    </row>
    <row r="3" spans="1:30" ht="47.25" x14ac:dyDescent="0.25">
      <c r="A3" s="183" t="s">
        <v>4</v>
      </c>
      <c r="B3" s="184" t="s">
        <v>124</v>
      </c>
      <c r="C3" s="185" t="s">
        <v>5</v>
      </c>
      <c r="D3" s="185" t="s">
        <v>53</v>
      </c>
      <c r="E3" s="185" t="s">
        <v>125</v>
      </c>
      <c r="F3" s="185" t="s">
        <v>126</v>
      </c>
      <c r="G3" s="186" t="s">
        <v>9</v>
      </c>
      <c r="H3" s="185" t="s">
        <v>127</v>
      </c>
      <c r="I3" s="185" t="s">
        <v>128</v>
      </c>
      <c r="J3" s="186" t="s">
        <v>129</v>
      </c>
      <c r="K3" s="186" t="s">
        <v>130</v>
      </c>
      <c r="L3" s="186" t="s">
        <v>131</v>
      </c>
      <c r="M3" s="187" t="s">
        <v>132</v>
      </c>
      <c r="N3" s="187" t="s">
        <v>133</v>
      </c>
      <c r="O3" s="183" t="s">
        <v>134</v>
      </c>
      <c r="P3" s="188" t="s">
        <v>0</v>
      </c>
      <c r="Q3" s="188" t="s">
        <v>6</v>
      </c>
      <c r="R3" s="188" t="s">
        <v>1</v>
      </c>
      <c r="S3" s="183" t="s">
        <v>2</v>
      </c>
      <c r="T3" s="183" t="s">
        <v>3</v>
      </c>
      <c r="U3" s="189" t="s">
        <v>27</v>
      </c>
      <c r="V3" s="189" t="s">
        <v>135</v>
      </c>
      <c r="W3" s="190" t="s">
        <v>25</v>
      </c>
      <c r="X3" s="191" t="s">
        <v>26</v>
      </c>
      <c r="Y3" s="192" t="s">
        <v>142</v>
      </c>
      <c r="Z3" s="192" t="s">
        <v>143</v>
      </c>
      <c r="AA3" s="192" t="s">
        <v>159</v>
      </c>
      <c r="AB3" s="181"/>
      <c r="AC3" s="181"/>
      <c r="AD3" s="181"/>
    </row>
    <row r="4" spans="1:30" ht="87.75" customHeight="1" x14ac:dyDescent="0.25">
      <c r="A4" s="201" t="s">
        <v>251</v>
      </c>
      <c r="B4" s="200">
        <v>43232</v>
      </c>
      <c r="D4" s="201" t="s">
        <v>250</v>
      </c>
      <c r="E4" s="201"/>
      <c r="F4" s="202"/>
      <c r="G4" s="203" t="s">
        <v>252</v>
      </c>
      <c r="H4" s="204" t="s">
        <v>253</v>
      </c>
      <c r="I4" s="207" t="s">
        <v>254</v>
      </c>
      <c r="J4" s="201"/>
      <c r="K4" s="201"/>
      <c r="L4" s="205"/>
      <c r="M4" s="205" t="s">
        <v>255</v>
      </c>
      <c r="N4" s="205" t="s">
        <v>83</v>
      </c>
      <c r="O4" s="199">
        <v>500</v>
      </c>
      <c r="P4" s="199">
        <v>500000</v>
      </c>
      <c r="Q4" s="199">
        <v>425000</v>
      </c>
      <c r="R4" s="199">
        <f>P4+Q4</f>
        <v>925000</v>
      </c>
      <c r="S4" s="199"/>
      <c r="T4" s="199"/>
      <c r="U4" s="199"/>
      <c r="V4" s="199"/>
      <c r="W4" s="199">
        <f>R4*40%</f>
        <v>370000</v>
      </c>
      <c r="X4" s="199"/>
      <c r="Y4" s="199">
        <f>R4*0.68</f>
        <v>629000</v>
      </c>
      <c r="Z4" s="199">
        <f>Y4-W4-X4</f>
        <v>259000</v>
      </c>
      <c r="AA4" s="199">
        <v>550000</v>
      </c>
      <c r="AB4" s="181"/>
      <c r="AC4" s="181"/>
      <c r="AD4" s="181"/>
    </row>
  </sheetData>
  <mergeCells count="2">
    <mergeCell ref="B1:Q1"/>
    <mergeCell ref="B2:Q2"/>
  </mergeCells>
  <conditionalFormatting sqref="N3">
    <cfRule type="cellIs" dxfId="5" priority="1" stopIfTrue="1" operator="equal">
      <formula>"Gia hạn"</formula>
    </cfRule>
  </conditionalFormatting>
  <hyperlinks>
    <hyperlink ref="I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activeCell="D9" sqref="D9"/>
    </sheetView>
  </sheetViews>
  <sheetFormatPr defaultRowHeight="15.75" x14ac:dyDescent="0.25"/>
  <cols>
    <col min="1" max="1" width="5.5703125" style="67" customWidth="1"/>
    <col min="2" max="2" width="10.85546875" style="36" customWidth="1"/>
    <col min="3" max="3" width="67.42578125" style="138" bestFit="1" customWidth="1"/>
    <col min="4" max="4" width="16.140625" style="36" customWidth="1"/>
    <col min="5" max="5" width="10.7109375" style="36" hidden="1" customWidth="1"/>
    <col min="6" max="6" width="15.85546875" style="83" hidden="1" customWidth="1"/>
    <col min="7" max="7" width="29.42578125" style="138" customWidth="1"/>
    <col min="8" max="8" width="11.140625" style="138" customWidth="1"/>
    <col min="9" max="9" width="14.5703125" style="149" bestFit="1" customWidth="1"/>
    <col min="10" max="10" width="15.7109375" style="149" bestFit="1" customWidth="1"/>
    <col min="11" max="11" width="13.42578125" style="149" bestFit="1" customWidth="1"/>
    <col min="12" max="12" width="17.7109375" style="149" hidden="1" customWidth="1"/>
    <col min="13" max="13" width="10.7109375" style="138" customWidth="1"/>
    <col min="14" max="14" width="11.42578125" style="138" hidden="1" customWidth="1"/>
    <col min="15" max="15" width="22.42578125" style="138" customWidth="1"/>
    <col min="16" max="16" width="17.28515625" style="138" customWidth="1"/>
    <col min="17" max="17" width="13.28515625" style="138" customWidth="1"/>
    <col min="18" max="18" width="16.5703125" style="138" customWidth="1"/>
    <col min="19" max="19" width="9.140625" style="36"/>
    <col min="20" max="20" width="0" style="36" hidden="1" customWidth="1"/>
    <col min="21" max="21" width="13.42578125" style="36" customWidth="1"/>
    <col min="22" max="22" width="13.42578125" style="36" hidden="1" customWidth="1"/>
    <col min="23" max="23" width="9.140625" style="36"/>
    <col min="24" max="24" width="11.5703125" style="36" bestFit="1" customWidth="1"/>
    <col min="25" max="25" width="11.42578125" style="36" hidden="1" customWidth="1"/>
    <col min="26" max="27" width="12.7109375" style="36" customWidth="1"/>
    <col min="28" max="28" width="15" style="36" customWidth="1"/>
    <col min="29" max="16384" width="9.140625" style="36"/>
  </cols>
  <sheetData>
    <row r="1" spans="1:28" x14ac:dyDescent="0.25">
      <c r="B1" s="821" t="s">
        <v>7</v>
      </c>
      <c r="C1" s="821"/>
      <c r="D1" s="821"/>
      <c r="E1" s="821"/>
      <c r="F1" s="821"/>
      <c r="G1" s="821"/>
      <c r="H1" s="821"/>
      <c r="I1" s="821"/>
      <c r="J1" s="821"/>
      <c r="K1" s="821"/>
      <c r="L1" s="821"/>
      <c r="M1" s="821"/>
      <c r="N1" s="821"/>
    </row>
    <row r="2" spans="1:28" x14ac:dyDescent="0.25">
      <c r="B2" s="822" t="s">
        <v>29</v>
      </c>
      <c r="C2" s="822"/>
      <c r="D2" s="822"/>
      <c r="E2" s="822"/>
      <c r="F2" s="822"/>
      <c r="G2" s="822"/>
      <c r="H2" s="822"/>
      <c r="I2" s="822"/>
      <c r="J2" s="822"/>
      <c r="K2" s="822"/>
      <c r="L2" s="822"/>
      <c r="M2" s="822"/>
      <c r="N2" s="822"/>
    </row>
    <row r="3" spans="1:28" s="66" customFormat="1" ht="58.5" customHeight="1" x14ac:dyDescent="0.25">
      <c r="A3" s="89" t="s">
        <v>4</v>
      </c>
      <c r="B3" s="90" t="s">
        <v>646</v>
      </c>
      <c r="C3" s="91" t="s">
        <v>5</v>
      </c>
      <c r="D3" s="91" t="s">
        <v>53</v>
      </c>
      <c r="E3" s="91" t="s">
        <v>125</v>
      </c>
      <c r="F3" s="91" t="s">
        <v>126</v>
      </c>
      <c r="G3" s="92" t="s">
        <v>9</v>
      </c>
      <c r="H3" s="91" t="s">
        <v>127</v>
      </c>
      <c r="I3" s="91" t="s">
        <v>128</v>
      </c>
      <c r="J3" s="92" t="s">
        <v>129</v>
      </c>
      <c r="K3" s="92" t="s">
        <v>130</v>
      </c>
      <c r="L3" s="92" t="s">
        <v>131</v>
      </c>
      <c r="M3" s="93" t="s">
        <v>132</v>
      </c>
      <c r="N3" s="93" t="s">
        <v>133</v>
      </c>
      <c r="O3" s="89" t="s">
        <v>134</v>
      </c>
      <c r="P3" s="94" t="s">
        <v>0</v>
      </c>
      <c r="Q3" s="94" t="s">
        <v>6</v>
      </c>
      <c r="R3" s="94" t="s">
        <v>1</v>
      </c>
      <c r="S3" s="89" t="s">
        <v>2</v>
      </c>
      <c r="T3" s="89" t="s">
        <v>3</v>
      </c>
      <c r="U3" s="89" t="s">
        <v>27</v>
      </c>
      <c r="V3" s="89" t="s">
        <v>154</v>
      </c>
      <c r="W3" s="89" t="s">
        <v>135</v>
      </c>
      <c r="X3" s="95" t="s">
        <v>2303</v>
      </c>
      <c r="Y3" s="96" t="s">
        <v>26</v>
      </c>
      <c r="Z3" s="111" t="s">
        <v>142</v>
      </c>
      <c r="AA3" s="111" t="s">
        <v>143</v>
      </c>
      <c r="AB3" s="111" t="s">
        <v>159</v>
      </c>
    </row>
    <row r="4" spans="1:28" s="82" customFormat="1" ht="47.25" x14ac:dyDescent="0.25">
      <c r="A4" s="74">
        <v>1</v>
      </c>
      <c r="B4" s="70" t="s">
        <v>2173</v>
      </c>
      <c r="C4" s="134" t="s">
        <v>2171</v>
      </c>
      <c r="D4" s="442" t="s">
        <v>2170</v>
      </c>
      <c r="E4" s="86"/>
      <c r="F4" s="86"/>
      <c r="G4" s="136" t="s">
        <v>2172</v>
      </c>
      <c r="H4" s="173" t="s">
        <v>2300</v>
      </c>
      <c r="I4" s="474" t="s">
        <v>2301</v>
      </c>
      <c r="J4" s="173"/>
      <c r="K4" s="173"/>
      <c r="L4" s="142"/>
      <c r="M4" s="134" t="s">
        <v>2302</v>
      </c>
      <c r="N4" s="134"/>
      <c r="O4" s="143">
        <v>10000</v>
      </c>
      <c r="P4" s="143">
        <v>500000</v>
      </c>
      <c r="Q4" s="143">
        <v>3500000</v>
      </c>
      <c r="R4" s="143">
        <f>P4+Q4</f>
        <v>4000000</v>
      </c>
      <c r="S4" s="18">
        <v>200</v>
      </c>
      <c r="T4" s="78"/>
      <c r="U4" s="18" t="s">
        <v>2304</v>
      </c>
      <c r="V4" s="15"/>
      <c r="W4" s="87">
        <v>0.3</v>
      </c>
      <c r="X4" s="81">
        <f>R4*W4</f>
        <v>1200000</v>
      </c>
      <c r="Y4" s="81"/>
      <c r="Z4" s="81">
        <f>R4*68%</f>
        <v>2720000</v>
      </c>
      <c r="AA4" s="81">
        <f>Z4-X4</f>
        <v>1520000</v>
      </c>
      <c r="AB4" s="132" t="s">
        <v>783</v>
      </c>
    </row>
    <row r="5" spans="1:28" s="82" customFormat="1" ht="33" customHeight="1" x14ac:dyDescent="0.25">
      <c r="A5" s="97">
        <v>2</v>
      </c>
      <c r="B5" s="70" t="s">
        <v>2173</v>
      </c>
      <c r="C5" s="134" t="s">
        <v>2176</v>
      </c>
      <c r="D5" s="443" t="s">
        <v>2174</v>
      </c>
      <c r="E5" s="77"/>
      <c r="F5" s="85"/>
      <c r="G5" s="134" t="s">
        <v>2175</v>
      </c>
      <c r="H5" s="173" t="s">
        <v>2300</v>
      </c>
      <c r="I5" s="174"/>
      <c r="J5" s="79"/>
      <c r="K5" s="79"/>
      <c r="L5" s="88"/>
      <c r="M5" s="134" t="s">
        <v>2302</v>
      </c>
      <c r="N5" s="134"/>
      <c r="O5" s="143">
        <v>10000</v>
      </c>
      <c r="P5" s="143">
        <v>500000</v>
      </c>
      <c r="Q5" s="143">
        <v>3500000</v>
      </c>
      <c r="R5" s="143">
        <f>P5+Q5</f>
        <v>4000000</v>
      </c>
      <c r="S5" s="18">
        <v>200</v>
      </c>
      <c r="T5" s="78"/>
      <c r="U5" s="18" t="s">
        <v>2304</v>
      </c>
      <c r="V5" s="15"/>
      <c r="W5" s="87">
        <v>0.3</v>
      </c>
      <c r="X5" s="81">
        <f>R5*W5</f>
        <v>1200000</v>
      </c>
      <c r="Y5" s="81"/>
      <c r="Z5" s="81">
        <f>R5*68%</f>
        <v>2720000</v>
      </c>
      <c r="AA5" s="81">
        <f>Z5-X5</f>
        <v>1520000</v>
      </c>
      <c r="AB5" s="132" t="s">
        <v>783</v>
      </c>
    </row>
    <row r="6" spans="1:28" x14ac:dyDescent="0.25">
      <c r="A6" s="74">
        <v>3</v>
      </c>
      <c r="B6" s="15"/>
      <c r="C6" s="134"/>
      <c r="D6" s="15"/>
      <c r="E6" s="18"/>
      <c r="F6" s="70"/>
      <c r="G6" s="134"/>
      <c r="H6" s="134"/>
      <c r="I6" s="143"/>
      <c r="J6" s="143"/>
      <c r="K6" s="143"/>
      <c r="L6" s="143"/>
      <c r="M6" s="134"/>
      <c r="N6" s="134"/>
      <c r="O6" s="134"/>
      <c r="P6" s="159"/>
      <c r="Q6" s="134"/>
      <c r="R6" s="159"/>
      <c r="S6" s="18"/>
      <c r="T6" s="18"/>
      <c r="U6" s="18"/>
      <c r="V6" s="18"/>
      <c r="W6" s="18"/>
      <c r="X6" s="18"/>
      <c r="Y6" s="18"/>
      <c r="Z6" s="10"/>
      <c r="AA6" s="10"/>
      <c r="AB6" s="45"/>
    </row>
    <row r="7" spans="1:28" x14ac:dyDescent="0.25">
      <c r="A7" s="97">
        <v>4</v>
      </c>
      <c r="B7" s="25"/>
      <c r="C7" s="134"/>
      <c r="D7" s="15"/>
      <c r="E7" s="18"/>
      <c r="F7" s="70"/>
      <c r="G7" s="134"/>
      <c r="H7" s="134"/>
      <c r="I7" s="143"/>
      <c r="J7" s="143"/>
      <c r="K7" s="143"/>
      <c r="L7" s="143"/>
      <c r="M7" s="134"/>
      <c r="N7" s="134"/>
      <c r="O7" s="134"/>
      <c r="P7" s="134"/>
      <c r="Q7" s="134"/>
      <c r="R7" s="134"/>
      <c r="S7" s="18"/>
      <c r="T7" s="18"/>
      <c r="U7" s="18"/>
      <c r="V7" s="18"/>
      <c r="W7" s="18"/>
      <c r="X7" s="18"/>
      <c r="Y7" s="18"/>
      <c r="Z7" s="10"/>
      <c r="AA7" s="10"/>
      <c r="AB7" s="45"/>
    </row>
    <row r="8" spans="1:28" x14ac:dyDescent="0.25">
      <c r="A8" s="69"/>
      <c r="B8" s="18"/>
      <c r="C8" s="134"/>
      <c r="D8" s="18"/>
      <c r="E8" s="18"/>
      <c r="F8" s="70"/>
      <c r="G8" s="134"/>
      <c r="H8" s="134"/>
      <c r="I8" s="143"/>
      <c r="J8" s="143"/>
      <c r="K8" s="143"/>
      <c r="L8" s="143"/>
      <c r="M8" s="134"/>
      <c r="N8" s="134"/>
      <c r="O8" s="134"/>
      <c r="P8" s="134"/>
      <c r="Q8" s="134"/>
      <c r="R8" s="134"/>
      <c r="S8" s="18"/>
      <c r="T8" s="18"/>
      <c r="U8" s="18"/>
      <c r="V8" s="18"/>
      <c r="W8" s="18"/>
      <c r="X8" s="18"/>
      <c r="Y8" s="18"/>
      <c r="Z8" s="19"/>
      <c r="AA8" s="19"/>
      <c r="AB8" s="45"/>
    </row>
    <row r="9" spans="1:28" x14ac:dyDescent="0.25">
      <c r="A9" s="69"/>
      <c r="B9" s="18"/>
      <c r="C9" s="134"/>
      <c r="D9" s="18"/>
      <c r="E9" s="18"/>
      <c r="F9" s="70"/>
      <c r="G9" s="134"/>
      <c r="H9" s="134"/>
      <c r="I9" s="143"/>
      <c r="J9" s="143"/>
      <c r="K9" s="143"/>
      <c r="L9" s="143"/>
      <c r="M9" s="134"/>
      <c r="N9" s="134"/>
      <c r="O9" s="134"/>
      <c r="P9" s="134"/>
      <c r="Q9" s="134"/>
      <c r="R9" s="134"/>
      <c r="S9" s="18"/>
      <c r="T9" s="18"/>
      <c r="U9" s="18"/>
      <c r="V9" s="18"/>
      <c r="W9" s="18"/>
      <c r="X9" s="18"/>
      <c r="Y9" s="18"/>
      <c r="Z9" s="19"/>
      <c r="AA9" s="19"/>
      <c r="AB9" s="45"/>
    </row>
    <row r="10" spans="1:28" x14ac:dyDescent="0.25">
      <c r="A10" s="69"/>
      <c r="B10" s="18"/>
      <c r="C10" s="134"/>
      <c r="D10" s="18"/>
      <c r="E10" s="18"/>
      <c r="F10" s="70"/>
      <c r="G10" s="134"/>
      <c r="H10" s="134"/>
      <c r="I10" s="143"/>
      <c r="J10" s="143"/>
      <c r="K10" s="143"/>
      <c r="L10" s="143"/>
      <c r="M10" s="134"/>
      <c r="N10" s="134"/>
      <c r="O10" s="134"/>
      <c r="P10" s="134"/>
      <c r="Q10" s="134"/>
      <c r="R10" s="134"/>
      <c r="S10" s="18"/>
      <c r="T10" s="18"/>
      <c r="U10" s="18"/>
      <c r="V10" s="18"/>
      <c r="W10" s="18"/>
      <c r="X10" s="18"/>
      <c r="Y10" s="18"/>
      <c r="Z10" s="19"/>
      <c r="AA10" s="19"/>
    </row>
    <row r="11" spans="1:28" x14ac:dyDescent="0.25">
      <c r="A11" s="69"/>
      <c r="B11" s="18"/>
      <c r="C11" s="134"/>
      <c r="D11" s="18"/>
      <c r="E11" s="18"/>
      <c r="F11" s="70"/>
      <c r="G11" s="134"/>
      <c r="H11" s="134"/>
      <c r="I11" s="143"/>
      <c r="J11" s="143"/>
      <c r="K11" s="143"/>
      <c r="L11" s="143"/>
      <c r="M11" s="134"/>
      <c r="N11" s="134"/>
      <c r="O11" s="134"/>
      <c r="P11" s="134"/>
      <c r="Q11" s="134"/>
      <c r="R11" s="134"/>
      <c r="S11" s="18"/>
      <c r="T11" s="18"/>
      <c r="U11" s="18"/>
      <c r="V11" s="18"/>
      <c r="W11" s="18"/>
      <c r="X11" s="18"/>
      <c r="Y11" s="18"/>
      <c r="Z11" s="19"/>
      <c r="AA11" s="19"/>
    </row>
    <row r="12" spans="1:28" x14ac:dyDescent="0.25">
      <c r="A12" s="69"/>
      <c r="B12" s="18"/>
      <c r="C12" s="134"/>
      <c r="D12" s="18"/>
      <c r="E12" s="18"/>
      <c r="F12" s="70"/>
      <c r="G12" s="134"/>
      <c r="H12" s="134"/>
      <c r="I12" s="143"/>
      <c r="J12" s="143"/>
      <c r="K12" s="143"/>
      <c r="L12" s="143"/>
      <c r="M12" s="134"/>
      <c r="N12" s="134"/>
      <c r="O12" s="134"/>
      <c r="P12" s="134"/>
      <c r="Q12" s="134"/>
      <c r="R12" s="134"/>
      <c r="S12" s="18"/>
      <c r="T12" s="18"/>
      <c r="U12" s="18"/>
      <c r="V12" s="18"/>
      <c r="W12" s="18"/>
      <c r="X12" s="18"/>
      <c r="Y12" s="18"/>
      <c r="Z12" s="19"/>
      <c r="AA12" s="19"/>
    </row>
    <row r="13" spans="1:28" x14ac:dyDescent="0.25">
      <c r="A13" s="69"/>
      <c r="B13" s="18"/>
      <c r="C13" s="134"/>
      <c r="D13" s="18"/>
      <c r="E13" s="18"/>
      <c r="F13" s="70"/>
      <c r="G13" s="134"/>
      <c r="H13" s="134"/>
      <c r="I13" s="143"/>
      <c r="J13" s="143"/>
      <c r="K13" s="143"/>
      <c r="L13" s="143"/>
      <c r="M13" s="134"/>
      <c r="N13" s="134"/>
      <c r="O13" s="134"/>
      <c r="P13" s="134"/>
      <c r="Q13" s="134"/>
      <c r="R13" s="134"/>
      <c r="S13" s="18"/>
      <c r="T13" s="18"/>
      <c r="U13" s="18"/>
      <c r="V13" s="18"/>
      <c r="W13" s="18"/>
      <c r="X13" s="18"/>
      <c r="Y13" s="18"/>
      <c r="Z13" s="19"/>
      <c r="AA13" s="19"/>
    </row>
    <row r="14" spans="1:28" x14ac:dyDescent="0.25">
      <c r="A14" s="69"/>
      <c r="B14" s="18"/>
      <c r="C14" s="134"/>
      <c r="D14" s="18"/>
      <c r="E14" s="18"/>
      <c r="F14" s="70"/>
      <c r="G14" s="134"/>
      <c r="H14" s="134"/>
      <c r="I14" s="143"/>
      <c r="J14" s="143"/>
      <c r="K14" s="143"/>
      <c r="L14" s="143"/>
      <c r="M14" s="134"/>
      <c r="N14" s="134"/>
      <c r="O14" s="134"/>
      <c r="P14" s="134"/>
      <c r="Q14" s="134"/>
      <c r="R14" s="134"/>
      <c r="S14" s="18"/>
      <c r="T14" s="18"/>
      <c r="U14" s="18"/>
      <c r="V14" s="18"/>
      <c r="W14" s="18"/>
      <c r="X14" s="18"/>
      <c r="Y14" s="18"/>
      <c r="Z14" s="19"/>
      <c r="AA14" s="19"/>
    </row>
  </sheetData>
  <mergeCells count="2">
    <mergeCell ref="B1:N1"/>
    <mergeCell ref="B2:N2"/>
  </mergeCells>
  <conditionalFormatting sqref="N3">
    <cfRule type="cellIs" dxfId="4" priority="1" stopIfTrue="1" operator="equal">
      <formula>"Gia hạn"</formula>
    </cfRule>
  </conditionalFormatting>
  <hyperlinks>
    <hyperlink ref="I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workbookViewId="0">
      <pane xSplit="3" ySplit="4" topLeftCell="D29" activePane="bottomRight" state="frozen"/>
      <selection pane="topRight" activeCell="D1" sqref="D1"/>
      <selection pane="bottomLeft" activeCell="A5" sqref="A5"/>
      <selection pane="bottomRight" activeCell="D31" sqref="D31"/>
    </sheetView>
  </sheetViews>
  <sheetFormatPr defaultRowHeight="15.75" x14ac:dyDescent="0.25"/>
  <cols>
    <col min="1" max="1" width="5.5703125" style="67" customWidth="1"/>
    <col min="2" max="2" width="17.140625" style="36" customWidth="1"/>
    <col min="3" max="3" width="48.5703125" style="138" customWidth="1"/>
    <col min="4" max="4" width="18.140625" style="36" customWidth="1"/>
    <col min="5" max="5" width="21.28515625" style="36" hidden="1" customWidth="1"/>
    <col min="6" max="6" width="16.85546875" style="83" customWidth="1"/>
    <col min="7" max="7" width="26.5703125" style="138" customWidth="1"/>
    <col min="8" max="8" width="22" style="151" customWidth="1"/>
    <col min="9" max="9" width="14.5703125" style="149" bestFit="1" customWidth="1"/>
    <col min="10" max="10" width="15.7109375" style="149" hidden="1" customWidth="1"/>
    <col min="11" max="11" width="13.42578125" style="149" hidden="1" customWidth="1"/>
    <col min="12" max="12" width="13.28515625" style="149" customWidth="1"/>
    <col min="13" max="13" width="10.7109375" style="138" customWidth="1"/>
    <col min="14" max="14" width="11.42578125" style="138" hidden="1" customWidth="1"/>
    <col min="15" max="15" width="11" style="138" customWidth="1"/>
    <col min="16" max="16" width="14.42578125" style="138" customWidth="1"/>
    <col min="17" max="17" width="20.140625" style="138" customWidth="1"/>
    <col min="18" max="18" width="12" style="138" customWidth="1"/>
    <col min="19" max="19" width="12.7109375" style="138" customWidth="1"/>
    <col min="20" max="20" width="12.85546875" style="138" customWidth="1"/>
    <col min="21" max="22" width="9.140625" style="138"/>
    <col min="23" max="23" width="11.7109375" style="138" customWidth="1"/>
    <col min="24" max="24" width="11.42578125" style="138" customWidth="1"/>
    <col min="25" max="26" width="13.42578125" style="138" customWidth="1"/>
    <col min="27" max="27" width="14.140625" style="138" customWidth="1"/>
    <col min="28" max="16384" width="9.140625" style="36"/>
  </cols>
  <sheetData>
    <row r="1" spans="1:28" x14ac:dyDescent="0.25">
      <c r="B1" s="821" t="s">
        <v>7</v>
      </c>
      <c r="C1" s="821"/>
      <c r="D1" s="821"/>
      <c r="E1" s="821"/>
      <c r="F1" s="821"/>
      <c r="G1" s="821"/>
      <c r="H1" s="821"/>
      <c r="I1" s="821"/>
      <c r="J1" s="821"/>
      <c r="K1" s="821"/>
      <c r="L1" s="821"/>
      <c r="M1" s="821"/>
      <c r="N1" s="821"/>
    </row>
    <row r="2" spans="1:28" x14ac:dyDescent="0.25">
      <c r="B2" s="822" t="s">
        <v>29</v>
      </c>
      <c r="C2" s="822"/>
      <c r="D2" s="822"/>
      <c r="E2" s="822"/>
      <c r="F2" s="822"/>
      <c r="G2" s="822"/>
      <c r="H2" s="822"/>
      <c r="I2" s="822"/>
      <c r="J2" s="822"/>
      <c r="K2" s="822"/>
      <c r="L2" s="822"/>
      <c r="M2" s="822"/>
      <c r="N2" s="822"/>
    </row>
    <row r="3" spans="1:28" x14ac:dyDescent="0.25">
      <c r="B3" s="68"/>
      <c r="C3" s="210"/>
      <c r="D3" s="68"/>
      <c r="E3" s="68"/>
      <c r="F3" s="68"/>
      <c r="G3" s="135"/>
      <c r="H3" s="135"/>
      <c r="I3" s="135"/>
      <c r="J3" s="135"/>
      <c r="K3" s="135"/>
      <c r="L3" s="135"/>
      <c r="M3" s="135"/>
      <c r="N3" s="135"/>
    </row>
    <row r="4" spans="1:28" s="66" customFormat="1" ht="30" customHeight="1" x14ac:dyDescent="0.25">
      <c r="A4" s="57" t="s">
        <v>4</v>
      </c>
      <c r="B4" s="58" t="s">
        <v>124</v>
      </c>
      <c r="C4" s="59" t="s">
        <v>5</v>
      </c>
      <c r="D4" s="59" t="s">
        <v>53</v>
      </c>
      <c r="E4" s="59" t="s">
        <v>125</v>
      </c>
      <c r="F4" s="59" t="s">
        <v>3368</v>
      </c>
      <c r="G4" s="60" t="s">
        <v>9</v>
      </c>
      <c r="H4" s="59" t="s">
        <v>127</v>
      </c>
      <c r="I4" s="59" t="s">
        <v>128</v>
      </c>
      <c r="J4" s="60" t="s">
        <v>129</v>
      </c>
      <c r="K4" s="60" t="s">
        <v>130</v>
      </c>
      <c r="L4" s="60" t="s">
        <v>131</v>
      </c>
      <c r="M4" s="61" t="s">
        <v>132</v>
      </c>
      <c r="N4" s="61" t="s">
        <v>133</v>
      </c>
      <c r="O4" s="57" t="s">
        <v>134</v>
      </c>
      <c r="P4" s="62" t="s">
        <v>0</v>
      </c>
      <c r="Q4" s="62" t="s">
        <v>6</v>
      </c>
      <c r="R4" s="62" t="s">
        <v>1</v>
      </c>
      <c r="S4" s="57" t="s">
        <v>2</v>
      </c>
      <c r="T4" s="57" t="s">
        <v>3</v>
      </c>
      <c r="U4" s="63" t="s">
        <v>27</v>
      </c>
      <c r="V4" s="63" t="s">
        <v>135</v>
      </c>
      <c r="W4" s="139" t="s">
        <v>25</v>
      </c>
      <c r="X4" s="140" t="s">
        <v>26</v>
      </c>
      <c r="Y4" s="111" t="s">
        <v>142</v>
      </c>
      <c r="Z4" s="111" t="s">
        <v>143</v>
      </c>
      <c r="AA4" s="169" t="s">
        <v>159</v>
      </c>
      <c r="AB4" s="171" t="s">
        <v>221</v>
      </c>
    </row>
    <row r="5" spans="1:28" ht="63" x14ac:dyDescent="0.25">
      <c r="A5" s="69">
        <v>1</v>
      </c>
      <c r="B5" s="70">
        <v>43397</v>
      </c>
      <c r="C5" s="134" t="s">
        <v>31</v>
      </c>
      <c r="D5" s="15" t="s">
        <v>30</v>
      </c>
      <c r="E5" s="71"/>
      <c r="F5" s="72" t="s">
        <v>136</v>
      </c>
      <c r="G5" s="136" t="s">
        <v>32</v>
      </c>
      <c r="H5" s="141" t="s">
        <v>163</v>
      </c>
      <c r="I5" s="141"/>
      <c r="J5" s="141"/>
      <c r="K5" s="141"/>
      <c r="L5" s="142"/>
      <c r="M5" s="134" t="s">
        <v>33</v>
      </c>
      <c r="N5" s="134" t="s">
        <v>34</v>
      </c>
      <c r="O5" s="143">
        <v>300</v>
      </c>
      <c r="P5" s="143">
        <v>500000</v>
      </c>
      <c r="Q5" s="143">
        <v>300000</v>
      </c>
      <c r="R5" s="143">
        <f>P5+Q5</f>
        <v>800000</v>
      </c>
      <c r="S5" s="134"/>
      <c r="T5" s="134"/>
      <c r="U5" s="134"/>
      <c r="V5" s="144">
        <v>0.4</v>
      </c>
      <c r="W5" s="134">
        <v>0</v>
      </c>
      <c r="X5" s="145">
        <f>R5*V5</f>
        <v>320000</v>
      </c>
      <c r="Y5" s="146">
        <f>R5*0.68</f>
        <v>544000</v>
      </c>
      <c r="Z5" s="146">
        <f>Y5-W5-X5</f>
        <v>224000</v>
      </c>
      <c r="AA5" s="170">
        <f>R5</f>
        <v>800000</v>
      </c>
      <c r="AB5" s="18" t="s">
        <v>222</v>
      </c>
    </row>
    <row r="6" spans="1:28" s="82" customFormat="1" ht="78.75" x14ac:dyDescent="0.25">
      <c r="A6" s="74">
        <v>2</v>
      </c>
      <c r="B6" s="75">
        <v>43399</v>
      </c>
      <c r="C6" s="150" t="s">
        <v>36</v>
      </c>
      <c r="D6" s="39" t="s">
        <v>35</v>
      </c>
      <c r="E6" s="77"/>
      <c r="F6" s="72" t="s">
        <v>136</v>
      </c>
      <c r="G6" s="137" t="s">
        <v>37</v>
      </c>
      <c r="H6" s="150" t="s">
        <v>164</v>
      </c>
      <c r="I6" s="79"/>
      <c r="J6" s="79"/>
      <c r="K6" s="79"/>
      <c r="L6" s="137" t="s">
        <v>38</v>
      </c>
      <c r="M6" s="137" t="s">
        <v>39</v>
      </c>
      <c r="N6" s="134" t="s">
        <v>34</v>
      </c>
      <c r="O6" s="147">
        <v>1000</v>
      </c>
      <c r="P6" s="147">
        <v>500000</v>
      </c>
      <c r="Q6" s="147">
        <v>675000</v>
      </c>
      <c r="R6" s="147">
        <f>P6+Q6</f>
        <v>1175000</v>
      </c>
      <c r="S6" s="137"/>
      <c r="T6" s="137"/>
      <c r="U6" s="137"/>
      <c r="V6" s="144">
        <v>0.4</v>
      </c>
      <c r="W6" s="137">
        <v>0</v>
      </c>
      <c r="X6" s="145">
        <f t="shared" ref="X6:X42" si="0">R6*V6</f>
        <v>470000</v>
      </c>
      <c r="Y6" s="146">
        <f t="shared" ref="Y6:Y42" si="1">R6*0.68</f>
        <v>799000</v>
      </c>
      <c r="Z6" s="146">
        <f t="shared" ref="Z6:Z42" si="2">Y6-W6-X6</f>
        <v>329000</v>
      </c>
      <c r="AA6" s="170">
        <f>R6</f>
        <v>1175000</v>
      </c>
      <c r="AB6" s="78" t="s">
        <v>222</v>
      </c>
    </row>
    <row r="7" spans="1:28" ht="78.75" x14ac:dyDescent="0.25">
      <c r="A7" s="69">
        <v>3</v>
      </c>
      <c r="B7" s="70">
        <v>43323</v>
      </c>
      <c r="C7" s="134" t="s">
        <v>161</v>
      </c>
      <c r="D7" s="18">
        <v>106670163</v>
      </c>
      <c r="E7" s="18"/>
      <c r="F7" s="72" t="s">
        <v>136</v>
      </c>
      <c r="G7" s="134" t="s">
        <v>162</v>
      </c>
      <c r="H7" s="136" t="s">
        <v>165</v>
      </c>
      <c r="I7" s="143"/>
      <c r="J7" s="143"/>
      <c r="K7" s="143"/>
      <c r="L7" s="143"/>
      <c r="M7" s="134" t="s">
        <v>39</v>
      </c>
      <c r="N7" s="134" t="s">
        <v>34</v>
      </c>
      <c r="O7" s="147">
        <v>1000</v>
      </c>
      <c r="P7" s="147">
        <v>500000</v>
      </c>
      <c r="Q7" s="147">
        <v>675000</v>
      </c>
      <c r="R7" s="147">
        <f>P7+Q7</f>
        <v>1175000</v>
      </c>
      <c r="S7" s="134"/>
      <c r="T7" s="134"/>
      <c r="U7" s="134"/>
      <c r="V7" s="144">
        <v>0.4</v>
      </c>
      <c r="W7" s="134">
        <v>0</v>
      </c>
      <c r="X7" s="145">
        <f t="shared" si="0"/>
        <v>470000</v>
      </c>
      <c r="Y7" s="146">
        <f t="shared" si="1"/>
        <v>799000</v>
      </c>
      <c r="Z7" s="146">
        <f t="shared" si="2"/>
        <v>329000</v>
      </c>
      <c r="AA7" s="170">
        <f>R7</f>
        <v>1175000</v>
      </c>
      <c r="AB7" s="18" t="s">
        <v>222</v>
      </c>
    </row>
    <row r="8" spans="1:28" ht="78.75" x14ac:dyDescent="0.25">
      <c r="A8" s="69">
        <v>4</v>
      </c>
      <c r="B8" s="18" t="s">
        <v>186</v>
      </c>
      <c r="C8" s="134" t="s">
        <v>193</v>
      </c>
      <c r="D8" s="18">
        <v>106203151</v>
      </c>
      <c r="E8" s="18"/>
      <c r="F8" s="72" t="s">
        <v>136</v>
      </c>
      <c r="G8" s="134" t="s">
        <v>194</v>
      </c>
      <c r="H8" s="136" t="s">
        <v>195</v>
      </c>
      <c r="I8" s="158" t="s">
        <v>196</v>
      </c>
      <c r="J8" s="143"/>
      <c r="K8" s="143"/>
      <c r="L8" s="143"/>
      <c r="M8" s="134" t="s">
        <v>33</v>
      </c>
      <c r="N8" s="134"/>
      <c r="O8" s="134">
        <v>300</v>
      </c>
      <c r="P8" s="147">
        <v>500000</v>
      </c>
      <c r="Q8" s="143">
        <v>300000</v>
      </c>
      <c r="R8" s="147">
        <f t="shared" ref="R8:R22" si="3">P8+Q8</f>
        <v>800000</v>
      </c>
      <c r="S8" s="134"/>
      <c r="T8" s="134"/>
      <c r="U8" s="134"/>
      <c r="V8" s="144">
        <v>0.4</v>
      </c>
      <c r="W8" s="134"/>
      <c r="X8" s="145">
        <f t="shared" si="0"/>
        <v>320000</v>
      </c>
      <c r="Y8" s="146">
        <f t="shared" si="1"/>
        <v>544000</v>
      </c>
      <c r="Z8" s="146">
        <f t="shared" si="2"/>
        <v>224000</v>
      </c>
      <c r="AA8" s="170">
        <f>R8</f>
        <v>800000</v>
      </c>
      <c r="AB8" s="18" t="s">
        <v>222</v>
      </c>
    </row>
    <row r="9" spans="1:28" ht="78.75" x14ac:dyDescent="0.25">
      <c r="A9" s="69">
        <v>5</v>
      </c>
      <c r="B9" s="18" t="s">
        <v>187</v>
      </c>
      <c r="C9" s="134" t="s">
        <v>188</v>
      </c>
      <c r="D9" s="18">
        <v>108456020</v>
      </c>
      <c r="E9" s="18"/>
      <c r="F9" s="72" t="s">
        <v>136</v>
      </c>
      <c r="G9" s="134" t="s">
        <v>189</v>
      </c>
      <c r="H9" s="136" t="s">
        <v>190</v>
      </c>
      <c r="I9" s="143"/>
      <c r="J9" s="143"/>
      <c r="K9" s="143"/>
      <c r="L9" s="143"/>
      <c r="M9" s="134" t="s">
        <v>191</v>
      </c>
      <c r="N9" s="134" t="s">
        <v>192</v>
      </c>
      <c r="O9" s="134">
        <v>500</v>
      </c>
      <c r="P9" s="147">
        <v>500000</v>
      </c>
      <c r="Q9" s="159">
        <v>425000</v>
      </c>
      <c r="R9" s="147">
        <f t="shared" si="3"/>
        <v>925000</v>
      </c>
      <c r="S9" s="134"/>
      <c r="T9" s="134"/>
      <c r="U9" s="134"/>
      <c r="V9" s="144">
        <v>0.4</v>
      </c>
      <c r="W9" s="134"/>
      <c r="X9" s="145"/>
      <c r="Y9" s="146">
        <f t="shared" si="1"/>
        <v>629000</v>
      </c>
      <c r="Z9" s="146"/>
      <c r="AA9" s="170"/>
      <c r="AB9" s="18" t="s">
        <v>223</v>
      </c>
    </row>
    <row r="10" spans="1:28" ht="63" x14ac:dyDescent="0.25">
      <c r="A10" s="69">
        <v>6</v>
      </c>
      <c r="B10" s="18" t="s">
        <v>208</v>
      </c>
      <c r="C10" s="134" t="s">
        <v>214</v>
      </c>
      <c r="D10" s="15" t="s">
        <v>215</v>
      </c>
      <c r="E10" s="18"/>
      <c r="F10" s="72" t="s">
        <v>136</v>
      </c>
      <c r="G10" s="134" t="s">
        <v>216</v>
      </c>
      <c r="H10" s="136" t="s">
        <v>218</v>
      </c>
      <c r="I10" s="158" t="s">
        <v>217</v>
      </c>
      <c r="J10" s="143"/>
      <c r="K10" s="143"/>
      <c r="L10" s="143"/>
      <c r="M10" s="134" t="s">
        <v>191</v>
      </c>
      <c r="N10" s="134"/>
      <c r="O10" s="134">
        <v>500</v>
      </c>
      <c r="P10" s="147">
        <v>500000</v>
      </c>
      <c r="Q10" s="159">
        <v>425000</v>
      </c>
      <c r="R10" s="147">
        <f t="shared" si="3"/>
        <v>925000</v>
      </c>
      <c r="S10" s="134"/>
      <c r="T10" s="134"/>
      <c r="U10" s="134"/>
      <c r="V10" s="144">
        <v>0.4</v>
      </c>
      <c r="W10" s="134"/>
      <c r="X10" s="145">
        <f t="shared" si="0"/>
        <v>370000</v>
      </c>
      <c r="Y10" s="146">
        <f t="shared" si="1"/>
        <v>629000</v>
      </c>
      <c r="Z10" s="146">
        <f t="shared" si="2"/>
        <v>259000</v>
      </c>
      <c r="AA10" s="170"/>
      <c r="AB10" s="18" t="s">
        <v>236</v>
      </c>
    </row>
    <row r="11" spans="1:28" ht="63" x14ac:dyDescent="0.25">
      <c r="A11" s="69">
        <v>7</v>
      </c>
      <c r="B11" s="18" t="s">
        <v>310</v>
      </c>
      <c r="C11" s="134" t="s">
        <v>330</v>
      </c>
      <c r="D11" s="15" t="s">
        <v>331</v>
      </c>
      <c r="E11" s="18"/>
      <c r="F11" s="70" t="s">
        <v>136</v>
      </c>
      <c r="G11" s="134" t="s">
        <v>332</v>
      </c>
      <c r="H11" s="136" t="s">
        <v>333</v>
      </c>
      <c r="I11" s="158" t="s">
        <v>334</v>
      </c>
      <c r="J11" s="143"/>
      <c r="K11" s="143"/>
      <c r="L11" s="143"/>
      <c r="M11" s="134" t="s">
        <v>39</v>
      </c>
      <c r="N11" s="134"/>
      <c r="O11" s="134">
        <v>1000</v>
      </c>
      <c r="P11" s="147">
        <v>500000</v>
      </c>
      <c r="Q11" s="134">
        <v>675000</v>
      </c>
      <c r="R11" s="147">
        <f t="shared" si="3"/>
        <v>1175000</v>
      </c>
      <c r="S11" s="134"/>
      <c r="T11" s="134"/>
      <c r="U11" s="134"/>
      <c r="V11" s="144">
        <v>0.4</v>
      </c>
      <c r="W11" s="134"/>
      <c r="X11" s="145">
        <f t="shared" si="0"/>
        <v>470000</v>
      </c>
      <c r="Y11" s="146">
        <f t="shared" si="1"/>
        <v>799000</v>
      </c>
      <c r="Z11" s="146">
        <f t="shared" si="2"/>
        <v>329000</v>
      </c>
      <c r="AA11" s="138" t="s">
        <v>368</v>
      </c>
      <c r="AB11" s="18" t="s">
        <v>236</v>
      </c>
    </row>
    <row r="12" spans="1:28" s="23" customFormat="1" ht="47.25" x14ac:dyDescent="0.25">
      <c r="A12" s="467">
        <v>8</v>
      </c>
      <c r="B12" s="22">
        <v>43810</v>
      </c>
      <c r="C12" s="148" t="s">
        <v>2193</v>
      </c>
      <c r="D12" s="25" t="s">
        <v>2194</v>
      </c>
      <c r="E12" s="19"/>
      <c r="F12" s="22" t="s">
        <v>136</v>
      </c>
      <c r="G12" s="148" t="s">
        <v>2195</v>
      </c>
      <c r="H12" s="4" t="s">
        <v>2191</v>
      </c>
      <c r="I12" s="470"/>
      <c r="J12" s="470"/>
      <c r="K12" s="470"/>
      <c r="L12" s="470"/>
      <c r="M12" s="148" t="s">
        <v>191</v>
      </c>
      <c r="N12" s="148"/>
      <c r="O12" s="148">
        <v>500</v>
      </c>
      <c r="P12" s="164">
        <v>500000</v>
      </c>
      <c r="Q12" s="148">
        <v>425000</v>
      </c>
      <c r="R12" s="164">
        <f t="shared" si="3"/>
        <v>925000</v>
      </c>
      <c r="S12" s="148"/>
      <c r="T12" s="148"/>
      <c r="U12" s="148"/>
      <c r="V12" s="471">
        <v>0.4</v>
      </c>
      <c r="W12" s="148"/>
      <c r="X12" s="472">
        <f t="shared" si="0"/>
        <v>370000</v>
      </c>
      <c r="Y12" s="473">
        <f t="shared" si="1"/>
        <v>629000</v>
      </c>
      <c r="Z12" s="473">
        <f t="shared" si="2"/>
        <v>259000</v>
      </c>
      <c r="AA12" s="163"/>
      <c r="AB12" s="19"/>
    </row>
    <row r="13" spans="1:28" s="23" customFormat="1" ht="63" x14ac:dyDescent="0.25">
      <c r="A13" s="467">
        <v>9</v>
      </c>
      <c r="B13" s="19" t="s">
        <v>2202</v>
      </c>
      <c r="C13" s="148" t="s">
        <v>2203</v>
      </c>
      <c r="D13" s="25" t="s">
        <v>2201</v>
      </c>
      <c r="E13" s="19"/>
      <c r="F13" s="22" t="s">
        <v>136</v>
      </c>
      <c r="G13" s="148" t="s">
        <v>2204</v>
      </c>
      <c r="H13" s="468" t="s">
        <v>2206</v>
      </c>
      <c r="I13" s="469" t="s">
        <v>2205</v>
      </c>
      <c r="J13" s="470"/>
      <c r="K13" s="470"/>
      <c r="L13" s="470"/>
      <c r="M13" s="148" t="s">
        <v>191</v>
      </c>
      <c r="N13" s="148"/>
      <c r="O13" s="148">
        <v>500</v>
      </c>
      <c r="P13" s="164">
        <v>500000</v>
      </c>
      <c r="Q13" s="148">
        <v>425000</v>
      </c>
      <c r="R13" s="164">
        <f t="shared" si="3"/>
        <v>925000</v>
      </c>
      <c r="S13" s="148"/>
      <c r="T13" s="148"/>
      <c r="U13" s="148"/>
      <c r="V13" s="471">
        <v>0.4</v>
      </c>
      <c r="W13" s="148"/>
      <c r="X13" s="472">
        <f t="shared" si="0"/>
        <v>370000</v>
      </c>
      <c r="Y13" s="473">
        <f t="shared" si="1"/>
        <v>629000</v>
      </c>
      <c r="Z13" s="473">
        <f t="shared" si="2"/>
        <v>259000</v>
      </c>
      <c r="AA13" s="163" t="s">
        <v>2285</v>
      </c>
      <c r="AB13" s="19"/>
    </row>
    <row r="14" spans="1:28" s="23" customFormat="1" ht="78.75" x14ac:dyDescent="0.25">
      <c r="A14" s="453">
        <v>10</v>
      </c>
      <c r="B14" s="359" t="s">
        <v>2242</v>
      </c>
      <c r="C14" s="456" t="s">
        <v>2243</v>
      </c>
      <c r="D14" s="454" t="s">
        <v>2244</v>
      </c>
      <c r="E14" s="359"/>
      <c r="F14" s="455" t="s">
        <v>136</v>
      </c>
      <c r="G14" s="456" t="s">
        <v>2245</v>
      </c>
      <c r="H14" s="457" t="s">
        <v>2246</v>
      </c>
      <c r="I14" s="458" t="s">
        <v>2247</v>
      </c>
      <c r="J14" s="459"/>
      <c r="K14" s="459"/>
      <c r="L14" s="459"/>
      <c r="M14" s="456" t="s">
        <v>191</v>
      </c>
      <c r="N14" s="456"/>
      <c r="O14" s="456">
        <v>500</v>
      </c>
      <c r="P14" s="460">
        <v>500000</v>
      </c>
      <c r="Q14" s="456">
        <v>425000</v>
      </c>
      <c r="R14" s="460">
        <f t="shared" si="3"/>
        <v>925000</v>
      </c>
      <c r="S14" s="456">
        <v>200</v>
      </c>
      <c r="T14" s="456"/>
      <c r="U14" s="456"/>
      <c r="V14" s="461">
        <v>0.4</v>
      </c>
      <c r="W14" s="456"/>
      <c r="X14" s="462">
        <f t="shared" si="0"/>
        <v>370000</v>
      </c>
      <c r="Y14" s="463">
        <f t="shared" si="1"/>
        <v>629000</v>
      </c>
      <c r="Z14" s="463">
        <f t="shared" si="2"/>
        <v>259000</v>
      </c>
      <c r="AA14" s="359" t="s">
        <v>2248</v>
      </c>
    </row>
    <row r="15" spans="1:28" s="23" customFormat="1" ht="60" x14ac:dyDescent="0.25">
      <c r="A15" s="467">
        <v>11</v>
      </c>
      <c r="B15" s="19" t="s">
        <v>2242</v>
      </c>
      <c r="C15" s="148" t="s">
        <v>2249</v>
      </c>
      <c r="D15" s="25" t="s">
        <v>2250</v>
      </c>
      <c r="E15" s="19"/>
      <c r="F15" s="22" t="s">
        <v>1177</v>
      </c>
      <c r="G15" s="148" t="s">
        <v>2251</v>
      </c>
      <c r="H15" s="468" t="s">
        <v>2252</v>
      </c>
      <c r="I15" s="469" t="s">
        <v>2253</v>
      </c>
      <c r="J15" s="470"/>
      <c r="K15" s="470"/>
      <c r="L15" s="470"/>
      <c r="M15" s="148" t="s">
        <v>2254</v>
      </c>
      <c r="N15" s="148"/>
      <c r="O15" s="148">
        <v>5000</v>
      </c>
      <c r="P15" s="164">
        <v>500000</v>
      </c>
      <c r="Q15" s="148">
        <v>2250000</v>
      </c>
      <c r="R15" s="164">
        <f t="shared" si="3"/>
        <v>2750000</v>
      </c>
      <c r="S15" s="148">
        <v>200</v>
      </c>
      <c r="T15" s="148"/>
      <c r="U15" s="148"/>
      <c r="V15" s="471">
        <v>0.4</v>
      </c>
      <c r="W15" s="148"/>
      <c r="X15" s="472">
        <f t="shared" si="0"/>
        <v>1100000</v>
      </c>
      <c r="Y15" s="473">
        <f t="shared" si="1"/>
        <v>1870000.0000000002</v>
      </c>
      <c r="Z15" s="473">
        <f t="shared" si="2"/>
        <v>770000.00000000023</v>
      </c>
      <c r="AA15" s="148" t="s">
        <v>3081</v>
      </c>
      <c r="AB15" s="19"/>
    </row>
    <row r="16" spans="1:28" s="23" customFormat="1" ht="78.75" x14ac:dyDescent="0.25">
      <c r="A16" s="467">
        <v>12</v>
      </c>
      <c r="B16" s="19" t="s">
        <v>2306</v>
      </c>
      <c r="C16" s="148" t="s">
        <v>2317</v>
      </c>
      <c r="D16" s="25" t="s">
        <v>2318</v>
      </c>
      <c r="E16" s="19"/>
      <c r="F16" s="22" t="s">
        <v>1177</v>
      </c>
      <c r="G16" s="148" t="s">
        <v>2319</v>
      </c>
      <c r="H16" s="468" t="s">
        <v>2320</v>
      </c>
      <c r="I16" s="470" t="s">
        <v>2321</v>
      </c>
      <c r="J16" s="470"/>
      <c r="K16" s="470"/>
      <c r="L16" s="470"/>
      <c r="M16" s="148" t="s">
        <v>33</v>
      </c>
      <c r="N16" s="148"/>
      <c r="O16" s="148">
        <v>300</v>
      </c>
      <c r="P16" s="148">
        <v>500000</v>
      </c>
      <c r="Q16" s="148">
        <v>300000</v>
      </c>
      <c r="R16" s="164">
        <f t="shared" si="3"/>
        <v>800000</v>
      </c>
      <c r="S16" s="148">
        <v>200</v>
      </c>
      <c r="T16" s="148"/>
      <c r="U16" s="148"/>
      <c r="V16" s="471">
        <v>0.4</v>
      </c>
      <c r="W16" s="148"/>
      <c r="X16" s="472">
        <f t="shared" si="0"/>
        <v>320000</v>
      </c>
      <c r="Y16" s="473">
        <f t="shared" si="1"/>
        <v>544000</v>
      </c>
      <c r="Z16" s="473">
        <f t="shared" si="2"/>
        <v>224000</v>
      </c>
      <c r="AA16" s="148"/>
      <c r="AB16" s="19"/>
    </row>
    <row r="17" spans="1:29" s="23" customFormat="1" ht="63" x14ac:dyDescent="0.25">
      <c r="A17" s="467">
        <v>13</v>
      </c>
      <c r="B17" s="19" t="s">
        <v>2329</v>
      </c>
      <c r="C17" s="148" t="s">
        <v>2330</v>
      </c>
      <c r="D17" s="25" t="s">
        <v>2331</v>
      </c>
      <c r="E17" s="19"/>
      <c r="F17" s="22" t="s">
        <v>1177</v>
      </c>
      <c r="G17" s="148" t="s">
        <v>2332</v>
      </c>
      <c r="H17" s="468" t="s">
        <v>2333</v>
      </c>
      <c r="I17" s="469" t="s">
        <v>2334</v>
      </c>
      <c r="J17" s="470"/>
      <c r="K17" s="470"/>
      <c r="L17" s="470"/>
      <c r="M17" s="148" t="s">
        <v>33</v>
      </c>
      <c r="N17" s="148"/>
      <c r="O17" s="148">
        <v>300</v>
      </c>
      <c r="P17" s="148">
        <v>500000</v>
      </c>
      <c r="Q17" s="148">
        <v>300000</v>
      </c>
      <c r="R17" s="148">
        <f t="shared" si="3"/>
        <v>800000</v>
      </c>
      <c r="S17" s="148">
        <v>200</v>
      </c>
      <c r="T17" s="148"/>
      <c r="U17" s="148"/>
      <c r="V17" s="499">
        <v>0.4</v>
      </c>
      <c r="W17" s="148"/>
      <c r="X17" s="472">
        <f t="shared" si="0"/>
        <v>320000</v>
      </c>
      <c r="Y17" s="148">
        <f t="shared" si="1"/>
        <v>544000</v>
      </c>
      <c r="Z17" s="473">
        <f t="shared" si="2"/>
        <v>224000</v>
      </c>
      <c r="AA17" s="148" t="s">
        <v>2543</v>
      </c>
      <c r="AB17" s="19"/>
    </row>
    <row r="18" spans="1:29" s="23" customFormat="1" ht="63" x14ac:dyDescent="0.25">
      <c r="A18" s="467">
        <v>14</v>
      </c>
      <c r="B18" s="19" t="s">
        <v>2329</v>
      </c>
      <c r="C18" s="148" t="s">
        <v>2335</v>
      </c>
      <c r="D18" s="25" t="s">
        <v>2336</v>
      </c>
      <c r="E18" s="19"/>
      <c r="F18" s="22" t="s">
        <v>1177</v>
      </c>
      <c r="G18" s="148" t="s">
        <v>2332</v>
      </c>
      <c r="H18" s="468" t="s">
        <v>2333</v>
      </c>
      <c r="I18" s="469" t="s">
        <v>2334</v>
      </c>
      <c r="J18" s="470"/>
      <c r="K18" s="470"/>
      <c r="L18" s="470"/>
      <c r="M18" s="148" t="s">
        <v>33</v>
      </c>
      <c r="N18" s="148"/>
      <c r="O18" s="148">
        <v>300</v>
      </c>
      <c r="P18" s="148">
        <v>500000</v>
      </c>
      <c r="Q18" s="148">
        <v>300000</v>
      </c>
      <c r="R18" s="148">
        <f t="shared" si="3"/>
        <v>800000</v>
      </c>
      <c r="S18" s="148">
        <v>200</v>
      </c>
      <c r="T18" s="148"/>
      <c r="U18" s="148"/>
      <c r="V18" s="499">
        <v>0.4</v>
      </c>
      <c r="W18" s="148"/>
      <c r="X18" s="472">
        <f t="shared" si="0"/>
        <v>320000</v>
      </c>
      <c r="Y18" s="148">
        <f t="shared" si="1"/>
        <v>544000</v>
      </c>
      <c r="Z18" s="473">
        <f t="shared" si="2"/>
        <v>224000</v>
      </c>
      <c r="AA18" s="148" t="s">
        <v>2543</v>
      </c>
      <c r="AB18" s="19"/>
    </row>
    <row r="19" spans="1:29" s="23" customFormat="1" ht="31.5" x14ac:dyDescent="0.25">
      <c r="A19" s="467">
        <v>15</v>
      </c>
      <c r="B19" s="19" t="s">
        <v>2290</v>
      </c>
      <c r="C19" s="148" t="s">
        <v>2476</v>
      </c>
      <c r="D19" s="25" t="s">
        <v>2477</v>
      </c>
      <c r="E19" s="19"/>
      <c r="F19" s="22" t="s">
        <v>1177</v>
      </c>
      <c r="G19" s="148"/>
      <c r="H19" s="468" t="s">
        <v>2478</v>
      </c>
      <c r="I19" s="470"/>
      <c r="J19" s="470"/>
      <c r="K19" s="470"/>
      <c r="L19" s="470"/>
      <c r="M19" s="148" t="s">
        <v>33</v>
      </c>
      <c r="N19" s="148"/>
      <c r="O19" s="148">
        <v>300</v>
      </c>
      <c r="P19" s="148">
        <v>500000</v>
      </c>
      <c r="Q19" s="148">
        <v>300000</v>
      </c>
      <c r="R19" s="148">
        <f t="shared" si="3"/>
        <v>800000</v>
      </c>
      <c r="S19" s="148">
        <v>200</v>
      </c>
      <c r="T19" s="148"/>
      <c r="U19" s="148"/>
      <c r="V19" s="499">
        <v>0.4</v>
      </c>
      <c r="W19" s="148"/>
      <c r="X19" s="472">
        <f t="shared" si="0"/>
        <v>320000</v>
      </c>
      <c r="Y19" s="148">
        <f t="shared" si="1"/>
        <v>544000</v>
      </c>
      <c r="Z19" s="473">
        <f t="shared" si="2"/>
        <v>224000</v>
      </c>
      <c r="AA19" s="148" t="s">
        <v>1641</v>
      </c>
      <c r="AB19" s="19"/>
    </row>
    <row r="20" spans="1:29" s="23" customFormat="1" ht="31.5" x14ac:dyDescent="0.25">
      <c r="A20" s="467">
        <v>16</v>
      </c>
      <c r="B20" s="19" t="s">
        <v>2479</v>
      </c>
      <c r="C20" s="148" t="s">
        <v>2480</v>
      </c>
      <c r="D20" s="25" t="s">
        <v>2481</v>
      </c>
      <c r="E20" s="19"/>
      <c r="F20" s="22" t="s">
        <v>1177</v>
      </c>
      <c r="G20" s="148"/>
      <c r="H20" s="468" t="s">
        <v>2482</v>
      </c>
      <c r="I20" s="470"/>
      <c r="J20" s="470"/>
      <c r="K20" s="470"/>
      <c r="L20" s="470"/>
      <c r="M20" s="148" t="s">
        <v>33</v>
      </c>
      <c r="N20" s="148"/>
      <c r="O20" s="148">
        <v>300</v>
      </c>
      <c r="P20" s="148">
        <v>500000</v>
      </c>
      <c r="Q20" s="148">
        <v>300000</v>
      </c>
      <c r="R20" s="148">
        <f t="shared" si="3"/>
        <v>800000</v>
      </c>
      <c r="S20" s="148">
        <v>200</v>
      </c>
      <c r="T20" s="148"/>
      <c r="U20" s="148"/>
      <c r="V20" s="499">
        <v>0.4</v>
      </c>
      <c r="W20" s="148"/>
      <c r="X20" s="472">
        <f t="shared" si="0"/>
        <v>320000</v>
      </c>
      <c r="Y20" s="148">
        <f t="shared" si="1"/>
        <v>544000</v>
      </c>
      <c r="Z20" s="473">
        <f t="shared" si="2"/>
        <v>224000</v>
      </c>
      <c r="AA20" s="148" t="s">
        <v>1746</v>
      </c>
      <c r="AB20" s="19"/>
    </row>
    <row r="21" spans="1:29" s="23" customFormat="1" ht="47.25" x14ac:dyDescent="0.25">
      <c r="A21" s="467">
        <v>17</v>
      </c>
      <c r="B21" s="22">
        <v>43750</v>
      </c>
      <c r="C21" s="148" t="s">
        <v>2519</v>
      </c>
      <c r="D21" s="25" t="s">
        <v>2520</v>
      </c>
      <c r="E21" s="19"/>
      <c r="F21" s="22" t="s">
        <v>1177</v>
      </c>
      <c r="G21" s="148" t="s">
        <v>2521</v>
      </c>
      <c r="H21" s="468" t="s">
        <v>2522</v>
      </c>
      <c r="I21" s="470"/>
      <c r="J21" s="470"/>
      <c r="K21" s="470"/>
      <c r="L21" s="470"/>
      <c r="M21" s="148" t="s">
        <v>33</v>
      </c>
      <c r="N21" s="148"/>
      <c r="O21" s="148">
        <v>300</v>
      </c>
      <c r="P21" s="148">
        <v>500000</v>
      </c>
      <c r="Q21" s="148">
        <v>300000</v>
      </c>
      <c r="R21" s="148">
        <f t="shared" si="3"/>
        <v>800000</v>
      </c>
      <c r="S21" s="148">
        <v>200</v>
      </c>
      <c r="T21" s="148"/>
      <c r="U21" s="148"/>
      <c r="V21" s="499">
        <v>0.4</v>
      </c>
      <c r="W21" s="148"/>
      <c r="X21" s="472">
        <f t="shared" si="0"/>
        <v>320000</v>
      </c>
      <c r="Y21" s="148">
        <f>R21*0.6</f>
        <v>480000</v>
      </c>
      <c r="Z21" s="473">
        <f t="shared" si="2"/>
        <v>160000</v>
      </c>
      <c r="AA21" s="148" t="s">
        <v>3212</v>
      </c>
      <c r="AB21" s="19"/>
    </row>
    <row r="22" spans="1:29" s="23" customFormat="1" ht="47.25" x14ac:dyDescent="0.25">
      <c r="A22" s="467">
        <v>18</v>
      </c>
      <c r="B22" s="19" t="s">
        <v>2582</v>
      </c>
      <c r="C22" s="148" t="s">
        <v>2604</v>
      </c>
      <c r="D22" s="25" t="s">
        <v>2606</v>
      </c>
      <c r="E22" s="19"/>
      <c r="F22" s="22" t="s">
        <v>1177</v>
      </c>
      <c r="G22" s="148" t="s">
        <v>2605</v>
      </c>
      <c r="H22" s="468" t="s">
        <v>2607</v>
      </c>
      <c r="I22" s="470"/>
      <c r="J22" s="470"/>
      <c r="K22" s="470"/>
      <c r="L22" s="470"/>
      <c r="M22" s="456" t="s">
        <v>191</v>
      </c>
      <c r="N22" s="456"/>
      <c r="O22" s="456">
        <v>500</v>
      </c>
      <c r="P22" s="460">
        <v>500000</v>
      </c>
      <c r="Q22" s="456">
        <v>425000</v>
      </c>
      <c r="R22" s="148">
        <f t="shared" si="3"/>
        <v>925000</v>
      </c>
      <c r="S22" s="148">
        <v>200</v>
      </c>
      <c r="T22" s="148"/>
      <c r="U22" s="148"/>
      <c r="V22" s="499">
        <v>0.4</v>
      </c>
      <c r="W22" s="148"/>
      <c r="X22" s="472">
        <f t="shared" si="0"/>
        <v>370000</v>
      </c>
      <c r="Y22" s="148">
        <f t="shared" si="1"/>
        <v>629000</v>
      </c>
      <c r="Z22" s="473">
        <f t="shared" si="2"/>
        <v>259000</v>
      </c>
      <c r="AA22" s="148" t="s">
        <v>1746</v>
      </c>
      <c r="AB22" s="19"/>
    </row>
    <row r="23" spans="1:29" s="23" customFormat="1" ht="47.25" x14ac:dyDescent="0.25">
      <c r="A23" s="467">
        <v>20</v>
      </c>
      <c r="B23" s="19" t="s">
        <v>2647</v>
      </c>
      <c r="C23" s="148" t="s">
        <v>2691</v>
      </c>
      <c r="D23" s="25" t="s">
        <v>2692</v>
      </c>
      <c r="E23" s="19"/>
      <c r="F23" s="22" t="s">
        <v>1177</v>
      </c>
      <c r="G23" s="148" t="s">
        <v>2693</v>
      </c>
      <c r="H23" s="468" t="s">
        <v>2694</v>
      </c>
      <c r="I23" s="470"/>
      <c r="J23" s="470"/>
      <c r="K23" s="470"/>
      <c r="L23" s="470"/>
      <c r="M23" s="148" t="s">
        <v>33</v>
      </c>
      <c r="N23" s="148"/>
      <c r="O23" s="148">
        <v>300</v>
      </c>
      <c r="P23" s="148">
        <v>500000</v>
      </c>
      <c r="Q23" s="148">
        <v>300000</v>
      </c>
      <c r="R23" s="148">
        <f t="shared" ref="R23:R33" si="4">P23+Q23</f>
        <v>800000</v>
      </c>
      <c r="S23" s="148">
        <v>200</v>
      </c>
      <c r="T23" s="148"/>
      <c r="U23" s="148"/>
      <c r="V23" s="499">
        <v>0.4</v>
      </c>
      <c r="W23" s="148"/>
      <c r="X23" s="472">
        <f t="shared" si="0"/>
        <v>320000</v>
      </c>
      <c r="Y23" s="148">
        <f t="shared" si="1"/>
        <v>544000</v>
      </c>
      <c r="Z23" s="473">
        <f t="shared" si="2"/>
        <v>224000</v>
      </c>
      <c r="AA23" s="148" t="s">
        <v>1746</v>
      </c>
      <c r="AB23" s="19"/>
    </row>
    <row r="24" spans="1:29" s="272" customFormat="1" ht="63" x14ac:dyDescent="0.25">
      <c r="A24" s="444">
        <v>21</v>
      </c>
      <c r="B24" s="266" t="s">
        <v>2769</v>
      </c>
      <c r="C24" s="358" t="s">
        <v>2794</v>
      </c>
      <c r="D24" s="449" t="s">
        <v>2795</v>
      </c>
      <c r="E24" s="266"/>
      <c r="F24" s="373" t="s">
        <v>1177</v>
      </c>
      <c r="G24" s="358" t="s">
        <v>2796</v>
      </c>
      <c r="H24" s="450" t="s">
        <v>2797</v>
      </c>
      <c r="I24" s="446"/>
      <c r="J24" s="446"/>
      <c r="K24" s="446"/>
      <c r="L24" s="446"/>
      <c r="M24" s="358" t="s">
        <v>33</v>
      </c>
      <c r="N24" s="358"/>
      <c r="O24" s="358">
        <v>300</v>
      </c>
      <c r="P24" s="358">
        <v>500000</v>
      </c>
      <c r="Q24" s="358">
        <v>300000</v>
      </c>
      <c r="R24" s="358">
        <f t="shared" si="4"/>
        <v>800000</v>
      </c>
      <c r="S24" s="358">
        <v>200</v>
      </c>
      <c r="T24" s="358"/>
      <c r="U24" s="358"/>
      <c r="V24" s="475">
        <v>0.4</v>
      </c>
      <c r="W24" s="358"/>
      <c r="X24" s="452">
        <f t="shared" si="0"/>
        <v>320000</v>
      </c>
      <c r="Y24" s="358">
        <f t="shared" si="1"/>
        <v>544000</v>
      </c>
      <c r="Z24" s="447">
        <f t="shared" si="2"/>
        <v>224000</v>
      </c>
      <c r="AA24" s="358"/>
      <c r="AB24" s="266"/>
    </row>
    <row r="25" spans="1:29" s="272" customFormat="1" ht="63" x14ac:dyDescent="0.25">
      <c r="A25" s="444">
        <v>22</v>
      </c>
      <c r="B25" s="266" t="s">
        <v>2769</v>
      </c>
      <c r="C25" s="358" t="s">
        <v>2809</v>
      </c>
      <c r="D25" s="445" t="s">
        <v>2810</v>
      </c>
      <c r="E25" s="266"/>
      <c r="F25" s="373" t="s">
        <v>1177</v>
      </c>
      <c r="G25" s="358" t="s">
        <v>2811</v>
      </c>
      <c r="H25" s="450" t="s">
        <v>3211</v>
      </c>
      <c r="I25" s="446"/>
      <c r="J25" s="446"/>
      <c r="K25" s="446"/>
      <c r="L25" s="446"/>
      <c r="M25" s="358" t="s">
        <v>33</v>
      </c>
      <c r="N25" s="358"/>
      <c r="O25" s="358">
        <v>300</v>
      </c>
      <c r="P25" s="358">
        <v>500000</v>
      </c>
      <c r="Q25" s="358">
        <v>300000</v>
      </c>
      <c r="R25" s="358">
        <f t="shared" si="4"/>
        <v>800000</v>
      </c>
      <c r="S25" s="358">
        <v>200</v>
      </c>
      <c r="T25" s="358"/>
      <c r="U25" s="358"/>
      <c r="V25" s="475">
        <v>0.4</v>
      </c>
      <c r="W25" s="358"/>
      <c r="X25" s="452">
        <f t="shared" si="0"/>
        <v>320000</v>
      </c>
      <c r="Y25" s="358">
        <f t="shared" si="1"/>
        <v>544000</v>
      </c>
      <c r="Z25" s="447">
        <f t="shared" si="2"/>
        <v>224000</v>
      </c>
      <c r="AA25" s="358"/>
      <c r="AB25" s="266"/>
    </row>
    <row r="26" spans="1:29" s="23" customFormat="1" ht="63" x14ac:dyDescent="0.25">
      <c r="A26" s="467">
        <v>23</v>
      </c>
      <c r="B26" s="19" t="s">
        <v>2834</v>
      </c>
      <c r="C26" s="148" t="s">
        <v>2839</v>
      </c>
      <c r="D26" s="25" t="s">
        <v>2840</v>
      </c>
      <c r="E26" s="19"/>
      <c r="F26" s="22" t="s">
        <v>1177</v>
      </c>
      <c r="G26" s="148" t="s">
        <v>2841</v>
      </c>
      <c r="H26" s="468" t="s">
        <v>2842</v>
      </c>
      <c r="I26" s="470"/>
      <c r="J26" s="470"/>
      <c r="K26" s="470"/>
      <c r="L26" s="470"/>
      <c r="M26" s="148" t="s">
        <v>33</v>
      </c>
      <c r="N26" s="148"/>
      <c r="O26" s="148">
        <v>300</v>
      </c>
      <c r="P26" s="148">
        <v>500000</v>
      </c>
      <c r="Q26" s="148">
        <v>300000</v>
      </c>
      <c r="R26" s="148">
        <f t="shared" si="4"/>
        <v>800000</v>
      </c>
      <c r="S26" s="148">
        <v>650</v>
      </c>
      <c r="T26" s="148"/>
      <c r="U26" s="148"/>
      <c r="V26" s="499">
        <v>0.4</v>
      </c>
      <c r="W26" s="148"/>
      <c r="X26" s="472">
        <f t="shared" si="0"/>
        <v>320000</v>
      </c>
      <c r="Y26" s="148">
        <f t="shared" si="1"/>
        <v>544000</v>
      </c>
      <c r="Z26" s="473">
        <f t="shared" si="2"/>
        <v>224000</v>
      </c>
      <c r="AA26" s="148" t="s">
        <v>3315</v>
      </c>
      <c r="AB26" s="19"/>
    </row>
    <row r="27" spans="1:29" s="23" customFormat="1" ht="63" x14ac:dyDescent="0.25">
      <c r="A27" s="467">
        <v>24</v>
      </c>
      <c r="B27" s="19" t="s">
        <v>2834</v>
      </c>
      <c r="C27" s="148" t="s">
        <v>2843</v>
      </c>
      <c r="D27" s="25" t="s">
        <v>2844</v>
      </c>
      <c r="E27" s="19"/>
      <c r="F27" s="22" t="s">
        <v>1177</v>
      </c>
      <c r="G27" s="148" t="s">
        <v>2845</v>
      </c>
      <c r="H27" s="468" t="s">
        <v>2842</v>
      </c>
      <c r="I27" s="470"/>
      <c r="J27" s="470"/>
      <c r="K27" s="470"/>
      <c r="L27" s="470"/>
      <c r="M27" s="148" t="s">
        <v>33</v>
      </c>
      <c r="N27" s="148"/>
      <c r="O27" s="148">
        <v>300</v>
      </c>
      <c r="P27" s="148">
        <v>500000</v>
      </c>
      <c r="Q27" s="148">
        <v>300000</v>
      </c>
      <c r="R27" s="148">
        <f t="shared" si="4"/>
        <v>800000</v>
      </c>
      <c r="S27" s="148">
        <v>580</v>
      </c>
      <c r="T27" s="148"/>
      <c r="U27" s="148"/>
      <c r="V27" s="499">
        <v>0.4</v>
      </c>
      <c r="W27" s="148"/>
      <c r="X27" s="472">
        <f t="shared" si="0"/>
        <v>320000</v>
      </c>
      <c r="Y27" s="148">
        <f t="shared" si="1"/>
        <v>544000</v>
      </c>
      <c r="Z27" s="473">
        <f t="shared" si="2"/>
        <v>224000</v>
      </c>
      <c r="AA27" s="148" t="s">
        <v>3315</v>
      </c>
      <c r="AB27" s="19"/>
    </row>
    <row r="28" spans="1:29" s="272" customFormat="1" ht="63" x14ac:dyDescent="0.25">
      <c r="A28" s="444">
        <v>25</v>
      </c>
      <c r="B28" s="266" t="s">
        <v>2868</v>
      </c>
      <c r="C28" s="358" t="s">
        <v>2909</v>
      </c>
      <c r="D28" s="445" t="s">
        <v>2908</v>
      </c>
      <c r="E28" s="266"/>
      <c r="F28" s="373" t="s">
        <v>1177</v>
      </c>
      <c r="G28" s="358" t="s">
        <v>2910</v>
      </c>
      <c r="H28" s="450" t="s">
        <v>2911</v>
      </c>
      <c r="I28" s="451" t="s">
        <v>2912</v>
      </c>
      <c r="J28" s="446"/>
      <c r="K28" s="446"/>
      <c r="L28" s="446"/>
      <c r="M28" s="358" t="s">
        <v>33</v>
      </c>
      <c r="N28" s="358"/>
      <c r="O28" s="358">
        <v>300</v>
      </c>
      <c r="P28" s="358">
        <v>500000</v>
      </c>
      <c r="Q28" s="358">
        <v>300000</v>
      </c>
      <c r="R28" s="358">
        <f t="shared" si="4"/>
        <v>800000</v>
      </c>
      <c r="S28" s="358">
        <v>200</v>
      </c>
      <c r="T28" s="358"/>
      <c r="U28" s="358"/>
      <c r="V28" s="475">
        <v>0.4</v>
      </c>
      <c r="W28" s="358"/>
      <c r="X28" s="452">
        <f t="shared" si="0"/>
        <v>320000</v>
      </c>
      <c r="Y28" s="358">
        <f t="shared" si="1"/>
        <v>544000</v>
      </c>
      <c r="Z28" s="447">
        <f t="shared" si="2"/>
        <v>224000</v>
      </c>
      <c r="AA28" s="358"/>
      <c r="AB28" s="266"/>
    </row>
    <row r="29" spans="1:29" s="23" customFormat="1" ht="63" x14ac:dyDescent="0.25">
      <c r="A29" s="467">
        <v>26</v>
      </c>
      <c r="B29" s="19" t="s">
        <v>2923</v>
      </c>
      <c r="C29" s="148" t="s">
        <v>2962</v>
      </c>
      <c r="D29" s="25" t="s">
        <v>2963</v>
      </c>
      <c r="E29" s="19"/>
      <c r="F29" s="22" t="s">
        <v>1177</v>
      </c>
      <c r="G29" s="148" t="s">
        <v>2964</v>
      </c>
      <c r="H29" s="567" t="s">
        <v>2966</v>
      </c>
      <c r="I29" s="469" t="s">
        <v>2967</v>
      </c>
      <c r="J29" s="470"/>
      <c r="K29" s="470"/>
      <c r="L29" s="470"/>
      <c r="M29" s="148" t="s">
        <v>33</v>
      </c>
      <c r="N29" s="148"/>
      <c r="O29" s="148">
        <v>300</v>
      </c>
      <c r="P29" s="148">
        <v>500000</v>
      </c>
      <c r="Q29" s="148">
        <v>300000</v>
      </c>
      <c r="R29" s="148">
        <f t="shared" si="4"/>
        <v>800000</v>
      </c>
      <c r="S29" s="148">
        <v>200</v>
      </c>
      <c r="T29" s="148"/>
      <c r="U29" s="148"/>
      <c r="V29" s="499">
        <v>0.4</v>
      </c>
      <c r="W29" s="148"/>
      <c r="X29" s="472">
        <f t="shared" si="0"/>
        <v>320000</v>
      </c>
      <c r="Y29" s="148">
        <f t="shared" si="1"/>
        <v>544000</v>
      </c>
      <c r="Z29" s="473">
        <f t="shared" si="2"/>
        <v>224000</v>
      </c>
      <c r="AA29" s="148" t="s">
        <v>3315</v>
      </c>
      <c r="AB29" s="19"/>
    </row>
    <row r="30" spans="1:29" s="23" customFormat="1" ht="63" x14ac:dyDescent="0.25">
      <c r="A30" s="467">
        <v>27</v>
      </c>
      <c r="B30" s="19" t="s">
        <v>2923</v>
      </c>
      <c r="C30" s="148" t="s">
        <v>2971</v>
      </c>
      <c r="D30" s="25" t="s">
        <v>2972</v>
      </c>
      <c r="E30" s="19"/>
      <c r="F30" s="22" t="s">
        <v>1177</v>
      </c>
      <c r="G30" s="148" t="s">
        <v>2973</v>
      </c>
      <c r="H30" s="567" t="s">
        <v>2966</v>
      </c>
      <c r="I30" s="469" t="s">
        <v>2967</v>
      </c>
      <c r="J30" s="470"/>
      <c r="K30" s="470"/>
      <c r="L30" s="470"/>
      <c r="M30" s="148" t="s">
        <v>33</v>
      </c>
      <c r="N30" s="148"/>
      <c r="O30" s="148">
        <v>300</v>
      </c>
      <c r="P30" s="148">
        <v>500000</v>
      </c>
      <c r="Q30" s="148">
        <v>300000</v>
      </c>
      <c r="R30" s="148">
        <f t="shared" si="4"/>
        <v>800000</v>
      </c>
      <c r="S30" s="148">
        <v>200</v>
      </c>
      <c r="T30" s="148"/>
      <c r="U30" s="148"/>
      <c r="V30" s="499">
        <v>0.4</v>
      </c>
      <c r="W30" s="148"/>
      <c r="X30" s="472">
        <f t="shared" si="0"/>
        <v>320000</v>
      </c>
      <c r="Y30" s="148">
        <f t="shared" si="1"/>
        <v>544000</v>
      </c>
      <c r="Z30" s="473">
        <f t="shared" si="2"/>
        <v>224000</v>
      </c>
      <c r="AA30" s="148" t="s">
        <v>3315</v>
      </c>
      <c r="AB30" s="19"/>
    </row>
    <row r="31" spans="1:29" s="23" customFormat="1" ht="47.25" x14ac:dyDescent="0.25">
      <c r="A31" s="467">
        <v>28</v>
      </c>
      <c r="B31" s="19" t="s">
        <v>2923</v>
      </c>
      <c r="C31" s="148" t="s">
        <v>2974</v>
      </c>
      <c r="D31" s="25" t="s">
        <v>2975</v>
      </c>
      <c r="E31" s="19"/>
      <c r="F31" s="22" t="s">
        <v>1177</v>
      </c>
      <c r="G31" s="148" t="s">
        <v>2978</v>
      </c>
      <c r="H31" s="468" t="s">
        <v>2976</v>
      </c>
      <c r="I31" s="469" t="s">
        <v>2977</v>
      </c>
      <c r="J31" s="470"/>
      <c r="K31" s="470"/>
      <c r="L31" s="470"/>
      <c r="M31" s="148" t="s">
        <v>33</v>
      </c>
      <c r="N31" s="148"/>
      <c r="O31" s="148">
        <v>300</v>
      </c>
      <c r="P31" s="148">
        <v>500000</v>
      </c>
      <c r="Q31" s="148">
        <v>300000</v>
      </c>
      <c r="R31" s="148">
        <f t="shared" si="4"/>
        <v>800000</v>
      </c>
      <c r="S31" s="148">
        <v>200</v>
      </c>
      <c r="T31" s="148"/>
      <c r="U31" s="148"/>
      <c r="V31" s="499">
        <v>0.4</v>
      </c>
      <c r="W31" s="148"/>
      <c r="X31" s="472">
        <f t="shared" si="0"/>
        <v>320000</v>
      </c>
      <c r="Y31" s="148">
        <f t="shared" si="1"/>
        <v>544000</v>
      </c>
      <c r="Z31" s="473">
        <f t="shared" si="2"/>
        <v>224000</v>
      </c>
      <c r="AA31" s="148"/>
      <c r="AB31" s="19"/>
    </row>
    <row r="32" spans="1:29" s="481" customFormat="1" ht="63" x14ac:dyDescent="0.25">
      <c r="A32" s="539">
        <v>29</v>
      </c>
      <c r="B32" s="476">
        <v>43891</v>
      </c>
      <c r="C32" s="477" t="s">
        <v>3136</v>
      </c>
      <c r="D32" s="540" t="s">
        <v>3138</v>
      </c>
      <c r="E32" s="274"/>
      <c r="F32" s="476" t="s">
        <v>457</v>
      </c>
      <c r="G32" s="477" t="s">
        <v>3137</v>
      </c>
      <c r="H32" s="541" t="s">
        <v>3117</v>
      </c>
      <c r="I32" s="542"/>
      <c r="J32" s="542"/>
      <c r="K32" s="542"/>
      <c r="L32" s="542"/>
      <c r="M32" s="511" t="s">
        <v>39</v>
      </c>
      <c r="N32" s="511"/>
      <c r="O32" s="511">
        <v>1000</v>
      </c>
      <c r="P32" s="536">
        <v>500000</v>
      </c>
      <c r="Q32" s="511">
        <v>675000</v>
      </c>
      <c r="R32" s="536">
        <f t="shared" si="4"/>
        <v>1175000</v>
      </c>
      <c r="S32" s="148">
        <v>200</v>
      </c>
      <c r="T32" s="477"/>
      <c r="U32" s="477"/>
      <c r="V32" s="537">
        <v>0.4</v>
      </c>
      <c r="W32" s="477"/>
      <c r="X32" s="538">
        <f t="shared" si="0"/>
        <v>470000</v>
      </c>
      <c r="Y32" s="477">
        <f t="shared" si="1"/>
        <v>799000</v>
      </c>
      <c r="Z32" s="538">
        <f t="shared" si="2"/>
        <v>329000</v>
      </c>
      <c r="AA32" s="477"/>
      <c r="AB32" s="274"/>
      <c r="AC32" s="580">
        <f>R32*5%</f>
        <v>58750</v>
      </c>
    </row>
    <row r="33" spans="1:29" s="23" customFormat="1" ht="78.75" x14ac:dyDescent="0.25">
      <c r="A33" s="467">
        <v>30</v>
      </c>
      <c r="B33" s="22">
        <v>44014</v>
      </c>
      <c r="C33" s="148" t="s">
        <v>3366</v>
      </c>
      <c r="D33" s="25" t="s">
        <v>3367</v>
      </c>
      <c r="E33" s="19"/>
      <c r="F33" s="22" t="s">
        <v>457</v>
      </c>
      <c r="G33" s="148" t="s">
        <v>3369</v>
      </c>
      <c r="H33" s="468">
        <v>941070439</v>
      </c>
      <c r="I33" s="470"/>
      <c r="J33" s="470"/>
      <c r="K33" s="470"/>
      <c r="L33" s="470"/>
      <c r="M33" s="242" t="s">
        <v>39</v>
      </c>
      <c r="N33" s="242"/>
      <c r="O33" s="242">
        <v>1000</v>
      </c>
      <c r="P33" s="374">
        <v>500000</v>
      </c>
      <c r="Q33" s="242">
        <v>675000</v>
      </c>
      <c r="R33" s="374">
        <f t="shared" si="4"/>
        <v>1175000</v>
      </c>
      <c r="S33" s="148">
        <v>200</v>
      </c>
      <c r="T33" s="148"/>
      <c r="U33" s="148"/>
      <c r="V33" s="499">
        <v>0.4</v>
      </c>
      <c r="W33" s="148"/>
      <c r="X33" s="472">
        <f t="shared" si="0"/>
        <v>470000</v>
      </c>
      <c r="Y33" s="148">
        <f t="shared" si="1"/>
        <v>799000</v>
      </c>
      <c r="Z33" s="473">
        <f t="shared" si="2"/>
        <v>329000</v>
      </c>
      <c r="AA33" s="148" t="s">
        <v>783</v>
      </c>
      <c r="AB33" s="19"/>
      <c r="AC33" s="580">
        <f>R33*5%</f>
        <v>58750</v>
      </c>
    </row>
    <row r="34" spans="1:29" x14ac:dyDescent="0.25">
      <c r="A34" s="69"/>
      <c r="B34" s="18"/>
      <c r="C34" s="134"/>
      <c r="D34" s="18"/>
      <c r="E34" s="18"/>
      <c r="F34" s="70"/>
      <c r="G34" s="134"/>
      <c r="H34" s="136"/>
      <c r="I34" s="143"/>
      <c r="J34" s="143"/>
      <c r="K34" s="143"/>
      <c r="L34" s="143"/>
      <c r="M34" s="134"/>
      <c r="N34" s="134"/>
      <c r="O34" s="134"/>
      <c r="P34" s="134"/>
      <c r="Q34" s="134"/>
      <c r="R34" s="134"/>
      <c r="S34" s="134"/>
      <c r="T34" s="134"/>
      <c r="U34" s="134"/>
      <c r="V34" s="475">
        <v>0.4</v>
      </c>
      <c r="W34" s="134"/>
      <c r="X34" s="452">
        <f t="shared" si="0"/>
        <v>0</v>
      </c>
      <c r="Y34" s="358">
        <f t="shared" si="1"/>
        <v>0</v>
      </c>
      <c r="Z34" s="447">
        <f t="shared" si="2"/>
        <v>0</v>
      </c>
      <c r="AA34" s="134"/>
      <c r="AB34" s="18"/>
    </row>
    <row r="35" spans="1:29" x14ac:dyDescent="0.25">
      <c r="A35" s="69"/>
      <c r="B35" s="18"/>
      <c r="C35" s="134"/>
      <c r="D35" s="18"/>
      <c r="E35" s="18"/>
      <c r="F35" s="70"/>
      <c r="G35" s="134"/>
      <c r="H35" s="136"/>
      <c r="I35" s="143"/>
      <c r="J35" s="143"/>
      <c r="K35" s="143"/>
      <c r="L35" s="143"/>
      <c r="M35" s="134"/>
      <c r="N35" s="134"/>
      <c r="O35" s="134"/>
      <c r="P35" s="134"/>
      <c r="Q35" s="134"/>
      <c r="R35" s="134"/>
      <c r="S35" s="134"/>
      <c r="T35" s="134"/>
      <c r="U35" s="134"/>
      <c r="V35" s="475">
        <v>0.4</v>
      </c>
      <c r="W35" s="134"/>
      <c r="X35" s="452">
        <f t="shared" si="0"/>
        <v>0</v>
      </c>
      <c r="Y35" s="358">
        <f t="shared" si="1"/>
        <v>0</v>
      </c>
      <c r="Z35" s="447">
        <f t="shared" si="2"/>
        <v>0</v>
      </c>
      <c r="AA35" s="134"/>
      <c r="AB35" s="18"/>
    </row>
    <row r="36" spans="1:29" x14ac:dyDescent="0.25">
      <c r="A36" s="69"/>
      <c r="B36" s="18"/>
      <c r="C36" s="134"/>
      <c r="D36" s="18"/>
      <c r="E36" s="18"/>
      <c r="F36" s="70"/>
      <c r="G36" s="134"/>
      <c r="H36" s="136"/>
      <c r="I36" s="143"/>
      <c r="J36" s="143"/>
      <c r="K36" s="143"/>
      <c r="L36" s="143"/>
      <c r="M36" s="134"/>
      <c r="N36" s="134"/>
      <c r="O36" s="134"/>
      <c r="P36" s="134"/>
      <c r="Q36" s="134"/>
      <c r="R36" s="134"/>
      <c r="S36" s="134"/>
      <c r="T36" s="134"/>
      <c r="U36" s="134"/>
      <c r="V36" s="475">
        <v>0.4</v>
      </c>
      <c r="W36" s="134"/>
      <c r="X36" s="452">
        <f t="shared" si="0"/>
        <v>0</v>
      </c>
      <c r="Y36" s="358">
        <f t="shared" si="1"/>
        <v>0</v>
      </c>
      <c r="Z36" s="447">
        <f t="shared" si="2"/>
        <v>0</v>
      </c>
      <c r="AA36" s="134"/>
      <c r="AB36" s="18"/>
    </row>
    <row r="37" spans="1:29" x14ac:dyDescent="0.25">
      <c r="A37" s="69"/>
      <c r="B37" s="18"/>
      <c r="C37" s="134"/>
      <c r="D37" s="18"/>
      <c r="E37" s="18"/>
      <c r="F37" s="70"/>
      <c r="G37" s="134"/>
      <c r="H37" s="136"/>
      <c r="I37" s="143"/>
      <c r="J37" s="143"/>
      <c r="K37" s="143"/>
      <c r="L37" s="143"/>
      <c r="M37" s="134"/>
      <c r="N37" s="134"/>
      <c r="O37" s="134"/>
      <c r="P37" s="134"/>
      <c r="Q37" s="134"/>
      <c r="R37" s="134"/>
      <c r="S37" s="134"/>
      <c r="T37" s="134"/>
      <c r="U37" s="134"/>
      <c r="V37" s="475">
        <v>0.4</v>
      </c>
      <c r="W37" s="134"/>
      <c r="X37" s="452">
        <f t="shared" si="0"/>
        <v>0</v>
      </c>
      <c r="Y37" s="358">
        <f t="shared" si="1"/>
        <v>0</v>
      </c>
      <c r="Z37" s="447">
        <f t="shared" si="2"/>
        <v>0</v>
      </c>
      <c r="AA37" s="134"/>
      <c r="AB37" s="18"/>
    </row>
    <row r="38" spans="1:29" x14ac:dyDescent="0.25">
      <c r="A38" s="69"/>
      <c r="B38" s="18"/>
      <c r="C38" s="134"/>
      <c r="D38" s="18"/>
      <c r="E38" s="18"/>
      <c r="F38" s="70"/>
      <c r="G38" s="134"/>
      <c r="H38" s="136"/>
      <c r="I38" s="143"/>
      <c r="J38" s="143"/>
      <c r="K38" s="143"/>
      <c r="L38" s="143"/>
      <c r="M38" s="134"/>
      <c r="N38" s="134"/>
      <c r="O38" s="134"/>
      <c r="P38" s="134"/>
      <c r="Q38" s="134"/>
      <c r="R38" s="134"/>
      <c r="S38" s="134"/>
      <c r="T38" s="134"/>
      <c r="U38" s="134"/>
      <c r="V38" s="475">
        <v>0.4</v>
      </c>
      <c r="W38" s="134"/>
      <c r="X38" s="452">
        <f t="shared" si="0"/>
        <v>0</v>
      </c>
      <c r="Y38" s="358">
        <f t="shared" si="1"/>
        <v>0</v>
      </c>
      <c r="Z38" s="447">
        <f t="shared" si="2"/>
        <v>0</v>
      </c>
      <c r="AA38" s="134"/>
      <c r="AB38" s="18">
        <v>658</v>
      </c>
    </row>
    <row r="39" spans="1:29" x14ac:dyDescent="0.25">
      <c r="A39" s="69"/>
      <c r="B39" s="18"/>
      <c r="C39" s="134"/>
      <c r="D39" s="18"/>
      <c r="E39" s="18"/>
      <c r="F39" s="70"/>
      <c r="G39" s="134"/>
      <c r="H39" s="136"/>
      <c r="I39" s="143"/>
      <c r="J39" s="143"/>
      <c r="K39" s="143"/>
      <c r="L39" s="143"/>
      <c r="M39" s="134"/>
      <c r="N39" s="134"/>
      <c r="O39" s="134"/>
      <c r="P39" s="134"/>
      <c r="Q39" s="134"/>
      <c r="R39" s="134"/>
      <c r="S39" s="134"/>
      <c r="T39" s="134"/>
      <c r="U39" s="134"/>
      <c r="V39" s="475">
        <v>0.4</v>
      </c>
      <c r="W39" s="134"/>
      <c r="X39" s="452">
        <f t="shared" si="0"/>
        <v>0</v>
      </c>
      <c r="Y39" s="358">
        <f t="shared" si="1"/>
        <v>0</v>
      </c>
      <c r="Z39" s="447">
        <f t="shared" si="2"/>
        <v>0</v>
      </c>
      <c r="AA39" s="134"/>
      <c r="AB39" s="18">
        <v>253</v>
      </c>
    </row>
    <row r="40" spans="1:29" x14ac:dyDescent="0.25">
      <c r="A40" s="69"/>
      <c r="B40" s="18"/>
      <c r="C40" s="134"/>
      <c r="D40" s="18"/>
      <c r="E40" s="18"/>
      <c r="F40" s="70"/>
      <c r="G40" s="134"/>
      <c r="H40" s="136"/>
      <c r="I40" s="143"/>
      <c r="J40" s="143"/>
      <c r="K40" s="143"/>
      <c r="L40" s="143"/>
      <c r="M40" s="134"/>
      <c r="N40" s="134"/>
      <c r="O40" s="134"/>
      <c r="P40" s="134"/>
      <c r="Q40" s="134"/>
      <c r="R40" s="134"/>
      <c r="S40" s="134"/>
      <c r="T40" s="134"/>
      <c r="U40" s="134"/>
      <c r="V40" s="475">
        <v>0.4</v>
      </c>
      <c r="W40" s="134"/>
      <c r="X40" s="452">
        <f t="shared" si="0"/>
        <v>0</v>
      </c>
      <c r="Y40" s="358">
        <f t="shared" si="1"/>
        <v>0</v>
      </c>
      <c r="Z40" s="447">
        <f t="shared" si="2"/>
        <v>0</v>
      </c>
      <c r="AA40" s="134"/>
      <c r="AB40" s="18">
        <v>500</v>
      </c>
    </row>
    <row r="41" spans="1:29" x14ac:dyDescent="0.25">
      <c r="A41" s="69"/>
      <c r="B41" s="18"/>
      <c r="C41" s="134"/>
      <c r="D41" s="18"/>
      <c r="E41" s="18"/>
      <c r="F41" s="70"/>
      <c r="G41" s="134"/>
      <c r="H41" s="136"/>
      <c r="I41" s="143"/>
      <c r="J41" s="143"/>
      <c r="K41" s="143"/>
      <c r="L41" s="143"/>
      <c r="M41" s="134"/>
      <c r="N41" s="134"/>
      <c r="O41" s="134"/>
      <c r="P41" s="134"/>
      <c r="Q41" s="134"/>
      <c r="R41" s="134"/>
      <c r="S41" s="134"/>
      <c r="T41" s="134"/>
      <c r="U41" s="134"/>
      <c r="V41" s="475">
        <v>0.4</v>
      </c>
      <c r="W41" s="134"/>
      <c r="X41" s="452">
        <f t="shared" si="0"/>
        <v>0</v>
      </c>
      <c r="Y41" s="358">
        <f t="shared" si="1"/>
        <v>0</v>
      </c>
      <c r="Z41" s="447">
        <f t="shared" si="2"/>
        <v>0</v>
      </c>
      <c r="AA41" s="134"/>
      <c r="AB41" s="18">
        <f>AB38+AB39+AB40</f>
        <v>1411</v>
      </c>
    </row>
    <row r="42" spans="1:29" x14ac:dyDescent="0.25">
      <c r="A42" s="69"/>
      <c r="B42" s="18"/>
      <c r="C42" s="134"/>
      <c r="D42" s="18"/>
      <c r="E42" s="18"/>
      <c r="F42" s="70"/>
      <c r="G42" s="134"/>
      <c r="H42" s="136"/>
      <c r="I42" s="143"/>
      <c r="J42" s="143"/>
      <c r="K42" s="143"/>
      <c r="L42" s="143"/>
      <c r="M42" s="134"/>
      <c r="N42" s="134"/>
      <c r="O42" s="134"/>
      <c r="P42" s="134"/>
      <c r="Q42" s="134"/>
      <c r="R42" s="134"/>
      <c r="S42" s="134"/>
      <c r="T42" s="134"/>
      <c r="U42" s="134"/>
      <c r="V42" s="475">
        <v>0.4</v>
      </c>
      <c r="W42" s="134"/>
      <c r="X42" s="452">
        <f t="shared" si="0"/>
        <v>0</v>
      </c>
      <c r="Y42" s="358">
        <f t="shared" si="1"/>
        <v>0</v>
      </c>
      <c r="Z42" s="447">
        <f t="shared" si="2"/>
        <v>0</v>
      </c>
      <c r="AA42" s="134"/>
      <c r="AB42" s="18"/>
    </row>
    <row r="48" spans="1:29" ht="110.25" x14ac:dyDescent="0.25">
      <c r="Z48" s="138" t="s">
        <v>3816</v>
      </c>
      <c r="AA48" s="138">
        <f>600+500+255</f>
        <v>1355</v>
      </c>
    </row>
  </sheetData>
  <autoFilter ref="F1:F42"/>
  <mergeCells count="2">
    <mergeCell ref="B1:N1"/>
    <mergeCell ref="B2:N2"/>
  </mergeCells>
  <conditionalFormatting sqref="N4">
    <cfRule type="cellIs" dxfId="3" priority="1" stopIfTrue="1" operator="equal">
      <formula>"Gia hạn"</formula>
    </cfRule>
  </conditionalFormatting>
  <hyperlinks>
    <hyperlink ref="I8" r:id="rId1"/>
    <hyperlink ref="I10" r:id="rId2"/>
    <hyperlink ref="I11" r:id="rId3"/>
    <hyperlink ref="I13" r:id="rId4"/>
    <hyperlink ref="I14" r:id="rId5"/>
    <hyperlink ref="I15" r:id="rId6"/>
    <hyperlink ref="I17" r:id="rId7"/>
    <hyperlink ref="I18" r:id="rId8"/>
    <hyperlink ref="I28" r:id="rId9"/>
    <hyperlink ref="I29" r:id="rId10"/>
    <hyperlink ref="I30" r:id="rId11"/>
    <hyperlink ref="I31" r:id="rId12"/>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8"/>
  <sheetViews>
    <sheetView workbookViewId="0">
      <pane xSplit="3" ySplit="3" topLeftCell="P4" activePane="bottomRight" state="frozen"/>
      <selection pane="topRight" activeCell="D1" sqref="D1"/>
      <selection pane="bottomLeft" activeCell="A4" sqref="A4"/>
      <selection pane="bottomRight" activeCell="A5" sqref="A5:XFD5"/>
    </sheetView>
  </sheetViews>
  <sheetFormatPr defaultRowHeight="15" x14ac:dyDescent="0.25"/>
  <cols>
    <col min="1" max="1" width="5.5703125" style="51" customWidth="1"/>
    <col min="2" max="2" width="15.42578125" style="40" customWidth="1"/>
    <col min="3" max="3" width="46" style="257" customWidth="1"/>
    <col min="4" max="4" width="12.5703125" style="40" customWidth="1"/>
    <col min="5" max="5" width="47.28515625" style="257" hidden="1" customWidth="1"/>
    <col min="6" max="6" width="15" style="52" customWidth="1"/>
    <col min="7" max="7" width="7.85546875" style="52" customWidth="1"/>
    <col min="8" max="8" width="23" style="260" customWidth="1"/>
    <col min="9" max="9" width="14" style="1" customWidth="1"/>
    <col min="10" max="10" width="13.140625" style="53" customWidth="1"/>
    <col min="11" max="11" width="21.28515625" style="40" customWidth="1"/>
    <col min="12" max="12" width="11.140625" style="40" customWidth="1"/>
    <col min="13" max="13" width="14.5703125" style="50" bestFit="1" customWidth="1"/>
    <col min="14" max="14" width="15.7109375" style="50" bestFit="1" customWidth="1"/>
    <col min="15" max="15" width="13.42578125" style="50" hidden="1" customWidth="1"/>
    <col min="16" max="16" width="17.7109375" style="50" bestFit="1" customWidth="1"/>
    <col min="17" max="17" width="11.7109375" style="40" customWidth="1"/>
    <col min="18" max="19" width="11.42578125" style="40" customWidth="1"/>
    <col min="20" max="20" width="16.28515625" style="50" hidden="1" customWidth="1"/>
    <col min="21" max="21" width="10.85546875" style="40" hidden="1" customWidth="1"/>
    <col min="22" max="23" width="11.7109375" style="40" customWidth="1"/>
    <col min="24" max="24" width="11.7109375" style="40" hidden="1" customWidth="1"/>
    <col min="25" max="25" width="11.7109375" style="40" customWidth="1"/>
    <col min="26" max="27" width="13.42578125" style="40" customWidth="1"/>
    <col min="28" max="28" width="14.5703125" style="40" customWidth="1"/>
    <col min="29" max="29" width="12.7109375" style="40" customWidth="1"/>
    <col min="30" max="16384" width="9.140625" style="40"/>
  </cols>
  <sheetData>
    <row r="1" spans="1:30" s="43" customFormat="1" ht="23.25" customHeight="1" x14ac:dyDescent="0.3">
      <c r="A1" s="40"/>
      <c r="B1" s="823" t="s">
        <v>7</v>
      </c>
      <c r="C1" s="823"/>
      <c r="D1" s="823"/>
      <c r="E1" s="823"/>
      <c r="F1" s="823"/>
      <c r="G1" s="823"/>
      <c r="H1" s="823"/>
      <c r="I1" s="823"/>
      <c r="J1" s="823"/>
      <c r="K1" s="823"/>
      <c r="L1" s="823"/>
      <c r="M1" s="823"/>
      <c r="N1" s="823"/>
      <c r="O1" s="823"/>
      <c r="P1" s="823"/>
      <c r="Q1" s="823"/>
      <c r="R1" s="823"/>
      <c r="S1" s="41"/>
      <c r="T1" s="42"/>
    </row>
    <row r="2" spans="1:30" s="43" customFormat="1" ht="23.25" customHeight="1" x14ac:dyDescent="0.3">
      <c r="A2" s="40"/>
      <c r="B2" s="824" t="s">
        <v>8</v>
      </c>
      <c r="C2" s="824"/>
      <c r="D2" s="824"/>
      <c r="E2" s="824"/>
      <c r="F2" s="824"/>
      <c r="G2" s="824"/>
      <c r="H2" s="824"/>
      <c r="I2" s="824"/>
      <c r="J2" s="824"/>
      <c r="K2" s="824"/>
      <c r="L2" s="824"/>
      <c r="M2" s="824"/>
      <c r="N2" s="824"/>
      <c r="O2" s="824"/>
      <c r="P2" s="824"/>
      <c r="Q2" s="824"/>
      <c r="R2" s="824"/>
      <c r="S2" s="44"/>
      <c r="T2" s="42"/>
    </row>
    <row r="3" spans="1:30" s="66" customFormat="1" ht="39" customHeight="1" x14ac:dyDescent="0.25">
      <c r="A3" s="57" t="s">
        <v>4</v>
      </c>
      <c r="B3" s="58" t="s">
        <v>124</v>
      </c>
      <c r="C3" s="59" t="s">
        <v>5</v>
      </c>
      <c r="D3" s="59" t="s">
        <v>53</v>
      </c>
      <c r="E3" s="59" t="s">
        <v>125</v>
      </c>
      <c r="F3" s="59" t="s">
        <v>126</v>
      </c>
      <c r="G3" s="59"/>
      <c r="H3" s="60" t="s">
        <v>9</v>
      </c>
      <c r="I3" s="59" t="s">
        <v>127</v>
      </c>
      <c r="J3" s="59" t="s">
        <v>128</v>
      </c>
      <c r="K3" s="60" t="s">
        <v>129</v>
      </c>
      <c r="L3" s="60" t="s">
        <v>130</v>
      </c>
      <c r="M3" s="60" t="s">
        <v>131</v>
      </c>
      <c r="N3" s="61" t="s">
        <v>132</v>
      </c>
      <c r="O3" s="61" t="s">
        <v>133</v>
      </c>
      <c r="P3" s="57" t="s">
        <v>134</v>
      </c>
      <c r="Q3" s="62" t="s">
        <v>0</v>
      </c>
      <c r="R3" s="62" t="s">
        <v>6</v>
      </c>
      <c r="S3" s="62" t="s">
        <v>1</v>
      </c>
      <c r="T3" s="57" t="s">
        <v>2</v>
      </c>
      <c r="U3" s="57" t="s">
        <v>3</v>
      </c>
      <c r="V3" s="63" t="s">
        <v>27</v>
      </c>
      <c r="W3" s="63" t="s">
        <v>135</v>
      </c>
      <c r="X3" s="64" t="s">
        <v>25</v>
      </c>
      <c r="Y3" s="65" t="s">
        <v>26</v>
      </c>
      <c r="Z3" s="111" t="s">
        <v>142</v>
      </c>
      <c r="AA3" s="111" t="s">
        <v>143</v>
      </c>
      <c r="AB3" s="111" t="s">
        <v>159</v>
      </c>
    </row>
    <row r="4" spans="1:30" s="131" customFormat="1" ht="62.25" customHeight="1" x14ac:dyDescent="0.25">
      <c r="A4" s="123">
        <v>1</v>
      </c>
      <c r="B4" s="124">
        <v>43372</v>
      </c>
      <c r="C4" s="134" t="s">
        <v>18</v>
      </c>
      <c r="D4" s="125">
        <v>2700794425</v>
      </c>
      <c r="E4" s="156">
        <v>2700794425</v>
      </c>
      <c r="F4" s="73" t="s">
        <v>22</v>
      </c>
      <c r="G4" s="73"/>
      <c r="H4" s="136" t="s">
        <v>19</v>
      </c>
      <c r="I4" s="126" t="s">
        <v>21</v>
      </c>
      <c r="J4" s="127" t="s">
        <v>20</v>
      </c>
      <c r="K4" s="73"/>
      <c r="L4" s="73"/>
      <c r="M4" s="123" t="s">
        <v>24</v>
      </c>
      <c r="N4" s="123" t="s">
        <v>23</v>
      </c>
      <c r="O4" s="73"/>
      <c r="P4" s="128">
        <v>2000</v>
      </c>
      <c r="Q4" s="128">
        <v>500000</v>
      </c>
      <c r="R4" s="128">
        <v>1100000</v>
      </c>
      <c r="S4" s="128">
        <v>1600000</v>
      </c>
      <c r="T4" s="128"/>
      <c r="U4" s="123"/>
      <c r="V4" s="123" t="s">
        <v>28</v>
      </c>
      <c r="W4" s="129">
        <v>0.1</v>
      </c>
      <c r="X4" s="128">
        <v>160000</v>
      </c>
      <c r="Y4" s="130">
        <f>S4*0.4</f>
        <v>640000</v>
      </c>
      <c r="Z4" s="81">
        <f t="shared" ref="Z4:Z16" si="0">S4*0.68</f>
        <v>1088000</v>
      </c>
      <c r="AA4" s="81">
        <f t="shared" ref="AA4:AA11" si="1">Z4-X4-Y4</f>
        <v>288000</v>
      </c>
      <c r="AB4" s="132">
        <f>S4-X4</f>
        <v>1440000</v>
      </c>
    </row>
    <row r="5" spans="1:30" s="309" customFormat="1" ht="66" customHeight="1" x14ac:dyDescent="0.25">
      <c r="A5" s="298">
        <v>2</v>
      </c>
      <c r="B5" s="299">
        <v>43559</v>
      </c>
      <c r="C5" s="301" t="s">
        <v>699</v>
      </c>
      <c r="D5" s="300" t="s">
        <v>735</v>
      </c>
      <c r="E5" s="301"/>
      <c r="F5" s="302" t="s">
        <v>168</v>
      </c>
      <c r="G5" s="302"/>
      <c r="H5" s="303" t="s">
        <v>700</v>
      </c>
      <c r="I5" s="4" t="s">
        <v>701</v>
      </c>
      <c r="J5" s="304" t="s">
        <v>702</v>
      </c>
      <c r="K5" s="298" t="s">
        <v>703</v>
      </c>
      <c r="L5" s="298" t="s">
        <v>174</v>
      </c>
      <c r="M5" s="305" t="s">
        <v>704</v>
      </c>
      <c r="N5" s="168" t="s">
        <v>23</v>
      </c>
      <c r="O5" s="305"/>
      <c r="P5" s="305">
        <v>2000</v>
      </c>
      <c r="Q5" s="298">
        <v>500000</v>
      </c>
      <c r="R5" s="306">
        <v>1100000</v>
      </c>
      <c r="S5" s="306">
        <v>1600000</v>
      </c>
      <c r="T5" s="305"/>
      <c r="U5" s="298"/>
      <c r="V5" s="298" t="s">
        <v>705</v>
      </c>
      <c r="W5" s="307">
        <v>0.35</v>
      </c>
      <c r="X5" s="298"/>
      <c r="Y5" s="308">
        <f>S5*0.35</f>
        <v>560000</v>
      </c>
      <c r="Z5" s="99">
        <f t="shared" si="0"/>
        <v>1088000</v>
      </c>
      <c r="AA5" s="99">
        <f t="shared" si="1"/>
        <v>528000</v>
      </c>
      <c r="AB5" s="298" t="s">
        <v>855</v>
      </c>
      <c r="AD5" s="309" t="s">
        <v>577</v>
      </c>
    </row>
    <row r="6" spans="1:30" ht="75" x14ac:dyDescent="0.25">
      <c r="A6" s="45">
        <v>3</v>
      </c>
      <c r="B6" s="46">
        <v>43742</v>
      </c>
      <c r="C6" s="263" t="s">
        <v>733</v>
      </c>
      <c r="D6" s="264" t="s">
        <v>734</v>
      </c>
      <c r="E6" s="3"/>
      <c r="F6" s="46" t="s">
        <v>2615</v>
      </c>
      <c r="G6" s="46"/>
      <c r="H6" s="258" t="s">
        <v>736</v>
      </c>
      <c r="I6" s="4" t="s">
        <v>737</v>
      </c>
      <c r="J6" s="261" t="s">
        <v>738</v>
      </c>
      <c r="K6" s="45" t="s">
        <v>739</v>
      </c>
      <c r="L6" s="45" t="s">
        <v>174</v>
      </c>
      <c r="M6" s="49"/>
      <c r="N6" s="49" t="s">
        <v>740</v>
      </c>
      <c r="O6" s="49"/>
      <c r="P6" s="49">
        <v>300</v>
      </c>
      <c r="Q6" s="45">
        <v>500000</v>
      </c>
      <c r="R6" s="45">
        <v>300000</v>
      </c>
      <c r="S6" s="45">
        <v>800000</v>
      </c>
      <c r="T6" s="49"/>
      <c r="U6" s="45"/>
      <c r="V6" s="45" t="s">
        <v>705</v>
      </c>
      <c r="W6" s="262">
        <v>0.35</v>
      </c>
      <c r="X6" s="45"/>
      <c r="Y6" s="130">
        <f>S6*0.35</f>
        <v>280000</v>
      </c>
      <c r="Z6" s="81">
        <f t="shared" si="0"/>
        <v>544000</v>
      </c>
      <c r="AA6" s="81">
        <f t="shared" si="1"/>
        <v>264000</v>
      </c>
      <c r="AB6" s="45" t="s">
        <v>856</v>
      </c>
      <c r="AD6" s="40" t="s">
        <v>577</v>
      </c>
    </row>
    <row r="7" spans="1:30" s="309" customFormat="1" ht="45" x14ac:dyDescent="0.25">
      <c r="A7" s="298">
        <v>4</v>
      </c>
      <c r="B7" s="302">
        <v>43773</v>
      </c>
      <c r="C7" s="263" t="s">
        <v>2122</v>
      </c>
      <c r="D7" s="465" t="s">
        <v>2123</v>
      </c>
      <c r="E7" s="301"/>
      <c r="F7" s="302" t="s">
        <v>168</v>
      </c>
      <c r="G7" s="302"/>
      <c r="H7" s="466" t="s">
        <v>2124</v>
      </c>
      <c r="I7" s="4" t="s">
        <v>2125</v>
      </c>
      <c r="J7" s="304" t="s">
        <v>2126</v>
      </c>
      <c r="K7" s="298" t="s">
        <v>2127</v>
      </c>
      <c r="L7" s="298" t="s">
        <v>174</v>
      </c>
      <c r="M7" s="305"/>
      <c r="N7" s="305" t="s">
        <v>740</v>
      </c>
      <c r="O7" s="305"/>
      <c r="P7" s="305">
        <v>300</v>
      </c>
      <c r="Q7" s="298">
        <v>500000</v>
      </c>
      <c r="R7" s="298">
        <v>300000</v>
      </c>
      <c r="S7" s="298">
        <v>800000</v>
      </c>
      <c r="T7" s="305"/>
      <c r="U7" s="298"/>
      <c r="V7" s="298"/>
      <c r="W7" s="307">
        <v>0.35</v>
      </c>
      <c r="X7" s="298"/>
      <c r="Y7" s="308">
        <f>S7*W7</f>
        <v>280000</v>
      </c>
      <c r="Z7" s="99">
        <f t="shared" si="0"/>
        <v>544000</v>
      </c>
      <c r="AA7" s="99">
        <f t="shared" si="1"/>
        <v>264000</v>
      </c>
      <c r="AB7" s="298" t="s">
        <v>1746</v>
      </c>
    </row>
    <row r="8" spans="1:30" s="309" customFormat="1" ht="60" x14ac:dyDescent="0.25">
      <c r="A8" s="298">
        <v>5</v>
      </c>
      <c r="B8" s="302">
        <v>43774</v>
      </c>
      <c r="C8" s="263" t="s">
        <v>2139</v>
      </c>
      <c r="D8" s="465" t="s">
        <v>2140</v>
      </c>
      <c r="E8" s="301"/>
      <c r="F8" s="302" t="s">
        <v>2615</v>
      </c>
      <c r="G8" s="302"/>
      <c r="H8" s="466" t="s">
        <v>2142</v>
      </c>
      <c r="I8" s="4"/>
      <c r="J8" s="304" t="s">
        <v>2143</v>
      </c>
      <c r="K8" s="298"/>
      <c r="L8" s="298"/>
      <c r="M8" s="305" t="s">
        <v>2141</v>
      </c>
      <c r="N8" s="305" t="s">
        <v>740</v>
      </c>
      <c r="O8" s="305"/>
      <c r="P8" s="305">
        <v>300</v>
      </c>
      <c r="Q8" s="298">
        <v>500000</v>
      </c>
      <c r="R8" s="298">
        <v>300000</v>
      </c>
      <c r="S8" s="298">
        <v>800000</v>
      </c>
      <c r="T8" s="305"/>
      <c r="U8" s="298"/>
      <c r="V8" s="298"/>
      <c r="W8" s="307">
        <v>0.35</v>
      </c>
      <c r="X8" s="298"/>
      <c r="Y8" s="308">
        <f>S8*W8</f>
        <v>280000</v>
      </c>
      <c r="Z8" s="99">
        <f t="shared" si="0"/>
        <v>544000</v>
      </c>
      <c r="AA8" s="99">
        <f t="shared" si="1"/>
        <v>264000</v>
      </c>
      <c r="AB8" s="298" t="s">
        <v>2288</v>
      </c>
    </row>
    <row r="9" spans="1:30" s="309" customFormat="1" ht="51.75" customHeight="1" x14ac:dyDescent="0.25">
      <c r="A9" s="298">
        <v>6</v>
      </c>
      <c r="B9" s="302">
        <v>43780</v>
      </c>
      <c r="C9" s="294" t="s">
        <v>2149</v>
      </c>
      <c r="D9" s="293" t="s">
        <v>2152</v>
      </c>
      <c r="E9" s="301"/>
      <c r="F9" s="302" t="s">
        <v>2615</v>
      </c>
      <c r="G9" s="302"/>
      <c r="H9" s="466" t="s">
        <v>2157</v>
      </c>
      <c r="I9" s="4" t="s">
        <v>2158</v>
      </c>
      <c r="J9" s="304" t="s">
        <v>2159</v>
      </c>
      <c r="K9" s="298" t="s">
        <v>2153</v>
      </c>
      <c r="L9" s="298" t="s">
        <v>174</v>
      </c>
      <c r="M9" s="305"/>
      <c r="N9" s="305" t="s">
        <v>2160</v>
      </c>
      <c r="O9" s="305"/>
      <c r="P9" s="305">
        <v>500</v>
      </c>
      <c r="Q9" s="298">
        <v>500000</v>
      </c>
      <c r="R9" s="298">
        <v>425000</v>
      </c>
      <c r="S9" s="298">
        <f>Q9+R9</f>
        <v>925000</v>
      </c>
      <c r="T9" s="305"/>
      <c r="U9" s="298"/>
      <c r="V9" s="298"/>
      <c r="W9" s="307">
        <v>0.35</v>
      </c>
      <c r="X9" s="298"/>
      <c r="Y9" s="308">
        <f>S9*W9</f>
        <v>323750</v>
      </c>
      <c r="Z9" s="99">
        <f t="shared" si="0"/>
        <v>629000</v>
      </c>
      <c r="AA9" s="99">
        <f t="shared" si="1"/>
        <v>305250</v>
      </c>
      <c r="AB9" s="298" t="s">
        <v>2284</v>
      </c>
    </row>
    <row r="10" spans="1:30" ht="75" x14ac:dyDescent="0.25">
      <c r="A10" s="45">
        <v>7</v>
      </c>
      <c r="B10" s="46">
        <v>43810</v>
      </c>
      <c r="C10" s="568" t="s">
        <v>2183</v>
      </c>
      <c r="D10" s="569" t="s">
        <v>2187</v>
      </c>
      <c r="E10" s="3"/>
      <c r="F10" s="46" t="s">
        <v>2615</v>
      </c>
      <c r="G10" s="46"/>
      <c r="H10" s="570" t="s">
        <v>2184</v>
      </c>
      <c r="I10" s="571" t="s">
        <v>2185</v>
      </c>
      <c r="J10" s="562"/>
      <c r="K10" s="45" t="s">
        <v>2186</v>
      </c>
      <c r="L10" s="45" t="s">
        <v>174</v>
      </c>
      <c r="M10" s="49"/>
      <c r="N10" s="49" t="s">
        <v>740</v>
      </c>
      <c r="O10" s="49"/>
      <c r="P10" s="49">
        <v>300</v>
      </c>
      <c r="Q10" s="45">
        <v>500000</v>
      </c>
      <c r="R10" s="45">
        <v>300000</v>
      </c>
      <c r="S10" s="45">
        <f>Q10+R10</f>
        <v>800000</v>
      </c>
      <c r="T10" s="49"/>
      <c r="U10" s="45"/>
      <c r="V10" s="45"/>
      <c r="W10" s="262">
        <v>0.35</v>
      </c>
      <c r="X10" s="45"/>
      <c r="Y10" s="130">
        <f>S10*W10</f>
        <v>280000</v>
      </c>
      <c r="Z10" s="81">
        <f t="shared" si="0"/>
        <v>544000</v>
      </c>
      <c r="AA10" s="81">
        <f t="shared" si="1"/>
        <v>264000</v>
      </c>
      <c r="AB10" s="45" t="s">
        <v>3318</v>
      </c>
    </row>
    <row r="11" spans="1:30" s="309" customFormat="1" ht="60" x14ac:dyDescent="0.25">
      <c r="A11" s="298">
        <v>8</v>
      </c>
      <c r="B11" s="302">
        <v>43810</v>
      </c>
      <c r="C11" s="263" t="s">
        <v>2189</v>
      </c>
      <c r="D11" s="465" t="s">
        <v>2188</v>
      </c>
      <c r="E11" s="301"/>
      <c r="F11" s="302" t="s">
        <v>2615</v>
      </c>
      <c r="G11" s="302"/>
      <c r="H11" s="466" t="s">
        <v>2190</v>
      </c>
      <c r="I11" s="4" t="s">
        <v>2191</v>
      </c>
      <c r="J11" s="304"/>
      <c r="K11" s="298" t="s">
        <v>2192</v>
      </c>
      <c r="L11" s="298" t="s">
        <v>174</v>
      </c>
      <c r="M11" s="305"/>
      <c r="N11" s="305" t="s">
        <v>282</v>
      </c>
      <c r="O11" s="305"/>
      <c r="P11" s="305">
        <v>1000</v>
      </c>
      <c r="Q11" s="298">
        <v>500000</v>
      </c>
      <c r="R11" s="298">
        <v>675000</v>
      </c>
      <c r="S11" s="298">
        <f>Q11+R11</f>
        <v>1175000</v>
      </c>
      <c r="T11" s="305"/>
      <c r="U11" s="298"/>
      <c r="V11" s="298"/>
      <c r="W11" s="307">
        <v>0.35</v>
      </c>
      <c r="X11" s="298"/>
      <c r="Y11" s="308">
        <f>S11*W11</f>
        <v>411250</v>
      </c>
      <c r="Z11" s="99">
        <f t="shared" si="0"/>
        <v>799000</v>
      </c>
      <c r="AA11" s="99">
        <f t="shared" si="1"/>
        <v>387750</v>
      </c>
      <c r="AB11" s="298"/>
    </row>
    <row r="12" spans="1:30" s="309" customFormat="1" ht="60" x14ac:dyDescent="0.25">
      <c r="A12" s="298">
        <v>9</v>
      </c>
      <c r="B12" s="302">
        <v>43810</v>
      </c>
      <c r="C12" s="263" t="s">
        <v>2189</v>
      </c>
      <c r="D12" s="465" t="s">
        <v>2188</v>
      </c>
      <c r="E12" s="301"/>
      <c r="F12" s="302" t="s">
        <v>2615</v>
      </c>
      <c r="G12" s="302"/>
      <c r="H12" s="466" t="s">
        <v>2190</v>
      </c>
      <c r="I12" s="4" t="s">
        <v>2191</v>
      </c>
      <c r="J12" s="304"/>
      <c r="K12" s="298" t="s">
        <v>2192</v>
      </c>
      <c r="L12" s="298" t="s">
        <v>174</v>
      </c>
      <c r="M12" s="305"/>
      <c r="N12" s="305" t="s">
        <v>282</v>
      </c>
      <c r="O12" s="305"/>
      <c r="P12" s="305">
        <v>1000</v>
      </c>
      <c r="Q12" s="298">
        <v>500000</v>
      </c>
      <c r="R12" s="298">
        <v>675000</v>
      </c>
      <c r="S12" s="298">
        <f>Q12+R12</f>
        <v>1175000</v>
      </c>
      <c r="T12" s="305"/>
      <c r="U12" s="298"/>
      <c r="V12" s="298"/>
      <c r="W12" s="307">
        <v>0.35</v>
      </c>
      <c r="X12" s="298"/>
      <c r="Y12" s="308">
        <f t="shared" ref="Y12:Y64" si="2">S12*W12</f>
        <v>411250</v>
      </c>
      <c r="Z12" s="99">
        <f t="shared" si="0"/>
        <v>799000</v>
      </c>
      <c r="AA12" s="99">
        <f t="shared" ref="AA12:AA64" si="3">Z12-X12-Y12</f>
        <v>387750</v>
      </c>
      <c r="AB12" s="298"/>
    </row>
    <row r="13" spans="1:30" s="309" customFormat="1" ht="60" x14ac:dyDescent="0.25">
      <c r="A13" s="298">
        <v>10</v>
      </c>
      <c r="B13" s="302" t="s">
        <v>2212</v>
      </c>
      <c r="C13" s="263" t="s">
        <v>2210</v>
      </c>
      <c r="D13" s="465" t="s">
        <v>2211</v>
      </c>
      <c r="E13" s="301"/>
      <c r="F13" s="302" t="s">
        <v>510</v>
      </c>
      <c r="G13" s="302"/>
      <c r="H13" s="466" t="s">
        <v>2213</v>
      </c>
      <c r="I13" s="4" t="s">
        <v>2214</v>
      </c>
      <c r="J13" s="304"/>
      <c r="K13" s="298" t="s">
        <v>2215</v>
      </c>
      <c r="L13" s="298" t="s">
        <v>174</v>
      </c>
      <c r="M13" s="305"/>
      <c r="N13" s="305" t="s">
        <v>740</v>
      </c>
      <c r="O13" s="305"/>
      <c r="P13" s="305">
        <v>300</v>
      </c>
      <c r="Q13" s="298">
        <v>500000</v>
      </c>
      <c r="R13" s="298">
        <v>300000</v>
      </c>
      <c r="S13" s="298">
        <f t="shared" ref="S13:S37" si="4">Q13+R13</f>
        <v>800000</v>
      </c>
      <c r="T13" s="305"/>
      <c r="U13" s="298"/>
      <c r="V13" s="298"/>
      <c r="W13" s="307">
        <v>0.35</v>
      </c>
      <c r="X13" s="298"/>
      <c r="Y13" s="308">
        <f t="shared" si="2"/>
        <v>280000</v>
      </c>
      <c r="Z13" s="99">
        <f t="shared" si="0"/>
        <v>544000</v>
      </c>
      <c r="AA13" s="99">
        <f t="shared" si="3"/>
        <v>264000</v>
      </c>
      <c r="AB13" s="298" t="s">
        <v>2284</v>
      </c>
    </row>
    <row r="14" spans="1:30" s="437" customFormat="1" ht="75" x14ac:dyDescent="0.25">
      <c r="A14" s="319">
        <v>11</v>
      </c>
      <c r="B14" s="428" t="s">
        <v>2266</v>
      </c>
      <c r="C14" s="429" t="s">
        <v>2272</v>
      </c>
      <c r="D14" s="430" t="s">
        <v>2274</v>
      </c>
      <c r="E14" s="431"/>
      <c r="F14" s="428" t="s">
        <v>168</v>
      </c>
      <c r="G14" s="428"/>
      <c r="H14" s="432" t="s">
        <v>2273</v>
      </c>
      <c r="I14" s="433" t="s">
        <v>2275</v>
      </c>
      <c r="J14" s="434"/>
      <c r="K14" s="319" t="s">
        <v>2276</v>
      </c>
      <c r="L14" s="319" t="s">
        <v>174</v>
      </c>
      <c r="M14" s="325"/>
      <c r="N14" s="325" t="s">
        <v>2277</v>
      </c>
      <c r="O14" s="325"/>
      <c r="P14" s="325">
        <v>10000</v>
      </c>
      <c r="Q14" s="319">
        <v>500000</v>
      </c>
      <c r="R14" s="319">
        <v>3500000</v>
      </c>
      <c r="S14" s="319">
        <f t="shared" si="4"/>
        <v>4000000</v>
      </c>
      <c r="T14" s="325"/>
      <c r="U14" s="319"/>
      <c r="V14" s="319"/>
      <c r="W14" s="435">
        <v>0.35</v>
      </c>
      <c r="X14" s="319"/>
      <c r="Y14" s="436">
        <f t="shared" si="2"/>
        <v>1400000</v>
      </c>
      <c r="Z14" s="279">
        <f t="shared" si="0"/>
        <v>2720000</v>
      </c>
      <c r="AA14" s="279">
        <f t="shared" si="3"/>
        <v>1320000</v>
      </c>
      <c r="AB14" s="319"/>
    </row>
    <row r="15" spans="1:30" s="437" customFormat="1" ht="60" x14ac:dyDescent="0.25">
      <c r="A15" s="319">
        <v>12</v>
      </c>
      <c r="B15" s="428" t="s">
        <v>2266</v>
      </c>
      <c r="C15" s="429" t="s">
        <v>2234</v>
      </c>
      <c r="D15" s="430">
        <v>3001782387</v>
      </c>
      <c r="E15" s="431"/>
      <c r="F15" s="428" t="s">
        <v>168</v>
      </c>
      <c r="G15" s="428"/>
      <c r="H15" s="432" t="s">
        <v>2239</v>
      </c>
      <c r="I15" s="433" t="s">
        <v>2278</v>
      </c>
      <c r="J15" s="434"/>
      <c r="K15" s="319" t="s">
        <v>2279</v>
      </c>
      <c r="L15" s="319" t="s">
        <v>174</v>
      </c>
      <c r="M15" s="325"/>
      <c r="N15" s="325" t="s">
        <v>740</v>
      </c>
      <c r="O15" s="325"/>
      <c r="P15" s="325">
        <v>300</v>
      </c>
      <c r="Q15" s="319">
        <v>500000</v>
      </c>
      <c r="R15" s="319">
        <v>300000</v>
      </c>
      <c r="S15" s="319">
        <f t="shared" si="4"/>
        <v>800000</v>
      </c>
      <c r="T15" s="325"/>
      <c r="U15" s="319"/>
      <c r="V15" s="319"/>
      <c r="W15" s="435">
        <v>0.35</v>
      </c>
      <c r="X15" s="319"/>
      <c r="Y15" s="436">
        <f t="shared" si="2"/>
        <v>280000</v>
      </c>
      <c r="Z15" s="279">
        <f t="shared" si="0"/>
        <v>544000</v>
      </c>
      <c r="AA15" s="279">
        <f t="shared" si="3"/>
        <v>264000</v>
      </c>
      <c r="AB15" s="319"/>
    </row>
    <row r="16" spans="1:30" s="309" customFormat="1" ht="60" x14ac:dyDescent="0.25">
      <c r="A16" s="298">
        <v>13</v>
      </c>
      <c r="B16" s="302" t="s">
        <v>2329</v>
      </c>
      <c r="C16" s="263" t="s">
        <v>2337</v>
      </c>
      <c r="D16" s="465" t="s">
        <v>2338</v>
      </c>
      <c r="E16" s="301"/>
      <c r="F16" s="302" t="s">
        <v>2615</v>
      </c>
      <c r="G16" s="302"/>
      <c r="H16" s="466" t="s">
        <v>2339</v>
      </c>
      <c r="I16" s="4" t="s">
        <v>2340</v>
      </c>
      <c r="J16" s="304"/>
      <c r="K16" s="298" t="s">
        <v>2341</v>
      </c>
      <c r="L16" s="298" t="s">
        <v>174</v>
      </c>
      <c r="M16" s="305"/>
      <c r="N16" s="305" t="s">
        <v>740</v>
      </c>
      <c r="O16" s="305"/>
      <c r="P16" s="305">
        <v>300</v>
      </c>
      <c r="Q16" s="298">
        <v>500000</v>
      </c>
      <c r="R16" s="298">
        <v>300000</v>
      </c>
      <c r="S16" s="298">
        <f t="shared" si="4"/>
        <v>800000</v>
      </c>
      <c r="T16" s="305"/>
      <c r="U16" s="298"/>
      <c r="V16" s="298"/>
      <c r="W16" s="307">
        <v>0.35</v>
      </c>
      <c r="X16" s="298"/>
      <c r="Y16" s="308">
        <f t="shared" si="2"/>
        <v>280000</v>
      </c>
      <c r="Z16" s="99">
        <f t="shared" si="0"/>
        <v>544000</v>
      </c>
      <c r="AA16" s="99">
        <f t="shared" si="3"/>
        <v>264000</v>
      </c>
      <c r="AB16" s="298"/>
    </row>
    <row r="17" spans="1:28" s="326" customFormat="1" ht="60" x14ac:dyDescent="0.25">
      <c r="A17" s="349">
        <v>14</v>
      </c>
      <c r="B17" s="518">
        <v>43508</v>
      </c>
      <c r="C17" s="519" t="s">
        <v>2372</v>
      </c>
      <c r="D17" s="520" t="s">
        <v>2373</v>
      </c>
      <c r="E17" s="521"/>
      <c r="F17" s="518" t="s">
        <v>510</v>
      </c>
      <c r="G17" s="518"/>
      <c r="H17" s="522" t="s">
        <v>2374</v>
      </c>
      <c r="I17" s="523" t="s">
        <v>2376</v>
      </c>
      <c r="J17" s="524" t="s">
        <v>2375</v>
      </c>
      <c r="K17" s="349" t="s">
        <v>2377</v>
      </c>
      <c r="L17" s="349" t="s">
        <v>174</v>
      </c>
      <c r="M17" s="348"/>
      <c r="N17" s="348" t="s">
        <v>740</v>
      </c>
      <c r="O17" s="348"/>
      <c r="P17" s="348">
        <v>300</v>
      </c>
      <c r="Q17" s="349">
        <v>500000</v>
      </c>
      <c r="R17" s="349">
        <v>300000</v>
      </c>
      <c r="S17" s="349">
        <f t="shared" si="4"/>
        <v>800000</v>
      </c>
      <c r="T17" s="348"/>
      <c r="U17" s="349"/>
      <c r="V17" s="349"/>
      <c r="W17" s="525">
        <v>0.35</v>
      </c>
      <c r="X17" s="349"/>
      <c r="Y17" s="526">
        <f t="shared" si="2"/>
        <v>280000</v>
      </c>
      <c r="Z17" s="219">
        <f>S17*0.6</f>
        <v>480000</v>
      </c>
      <c r="AA17" s="219">
        <f t="shared" si="3"/>
        <v>200000</v>
      </c>
      <c r="AB17" s="349" t="s">
        <v>3081</v>
      </c>
    </row>
    <row r="18" spans="1:28" s="309" customFormat="1" ht="75" x14ac:dyDescent="0.25">
      <c r="A18" s="298">
        <v>15</v>
      </c>
      <c r="B18" s="302">
        <v>43508</v>
      </c>
      <c r="C18" s="263" t="s">
        <v>2378</v>
      </c>
      <c r="D18" s="465" t="s">
        <v>2379</v>
      </c>
      <c r="E18" s="301"/>
      <c r="F18" s="302" t="s">
        <v>2615</v>
      </c>
      <c r="G18" s="302"/>
      <c r="H18" s="466" t="s">
        <v>2380</v>
      </c>
      <c r="I18" s="4" t="s">
        <v>2382</v>
      </c>
      <c r="J18" s="304" t="s">
        <v>2381</v>
      </c>
      <c r="K18" s="298" t="s">
        <v>2383</v>
      </c>
      <c r="L18" s="298" t="s">
        <v>174</v>
      </c>
      <c r="M18" s="305"/>
      <c r="N18" s="341" t="s">
        <v>740</v>
      </c>
      <c r="O18" s="341"/>
      <c r="P18" s="341">
        <v>300</v>
      </c>
      <c r="Q18" s="342">
        <v>500000</v>
      </c>
      <c r="R18" s="342">
        <v>300000</v>
      </c>
      <c r="S18" s="298">
        <f t="shared" si="4"/>
        <v>800000</v>
      </c>
      <c r="T18" s="305"/>
      <c r="U18" s="298"/>
      <c r="V18" s="298"/>
      <c r="W18" s="307">
        <v>0.35</v>
      </c>
      <c r="X18" s="298"/>
      <c r="Y18" s="308">
        <f t="shared" si="2"/>
        <v>280000</v>
      </c>
      <c r="Z18" s="219">
        <f t="shared" ref="Z18:Z64" si="5">S18*0.6</f>
        <v>480000</v>
      </c>
      <c r="AA18" s="99">
        <f t="shared" si="3"/>
        <v>200000</v>
      </c>
      <c r="AB18" s="349" t="s">
        <v>3081</v>
      </c>
    </row>
    <row r="19" spans="1:28" s="309" customFormat="1" ht="60" x14ac:dyDescent="0.25">
      <c r="A19" s="322">
        <v>16</v>
      </c>
      <c r="B19" s="302">
        <v>43508</v>
      </c>
      <c r="C19" s="301" t="s">
        <v>2393</v>
      </c>
      <c r="D19" s="323" t="s">
        <v>2392</v>
      </c>
      <c r="E19" s="301"/>
      <c r="F19" s="302" t="s">
        <v>2615</v>
      </c>
      <c r="G19" s="302"/>
      <c r="H19" s="324" t="s">
        <v>2394</v>
      </c>
      <c r="I19" s="55" t="s">
        <v>2396</v>
      </c>
      <c r="J19" s="304" t="s">
        <v>2395</v>
      </c>
      <c r="K19" s="298" t="s">
        <v>2397</v>
      </c>
      <c r="L19" s="298" t="s">
        <v>174</v>
      </c>
      <c r="M19" s="305"/>
      <c r="N19" s="341" t="s">
        <v>740</v>
      </c>
      <c r="O19" s="341"/>
      <c r="P19" s="341">
        <v>300</v>
      </c>
      <c r="Q19" s="342">
        <v>500000</v>
      </c>
      <c r="R19" s="342">
        <v>300000</v>
      </c>
      <c r="S19" s="298">
        <f t="shared" si="4"/>
        <v>800000</v>
      </c>
      <c r="T19" s="305"/>
      <c r="U19" s="298"/>
      <c r="V19" s="298"/>
      <c r="W19" s="307">
        <v>0.35</v>
      </c>
      <c r="X19" s="298"/>
      <c r="Y19" s="308">
        <f t="shared" si="2"/>
        <v>280000</v>
      </c>
      <c r="Z19" s="219">
        <f t="shared" si="5"/>
        <v>480000</v>
      </c>
      <c r="AA19" s="99">
        <f t="shared" si="3"/>
        <v>200000</v>
      </c>
      <c r="AB19" s="298" t="s">
        <v>2827</v>
      </c>
    </row>
    <row r="20" spans="1:28" s="309" customFormat="1" ht="60" x14ac:dyDescent="0.25">
      <c r="A20" s="322">
        <v>17</v>
      </c>
      <c r="B20" s="302">
        <v>43536</v>
      </c>
      <c r="C20" s="301" t="s">
        <v>2399</v>
      </c>
      <c r="D20" s="323" t="s">
        <v>2401</v>
      </c>
      <c r="E20" s="301"/>
      <c r="F20" s="302" t="s">
        <v>2400</v>
      </c>
      <c r="G20" s="302"/>
      <c r="H20" s="324" t="s">
        <v>2402</v>
      </c>
      <c r="I20" s="55" t="s">
        <v>2404</v>
      </c>
      <c r="J20" s="304" t="s">
        <v>2403</v>
      </c>
      <c r="K20" s="298" t="s">
        <v>2405</v>
      </c>
      <c r="L20" s="298" t="s">
        <v>174</v>
      </c>
      <c r="M20" s="305"/>
      <c r="N20" s="341" t="s">
        <v>740</v>
      </c>
      <c r="O20" s="341"/>
      <c r="P20" s="341">
        <v>300</v>
      </c>
      <c r="Q20" s="342">
        <v>500000</v>
      </c>
      <c r="R20" s="342">
        <v>300000</v>
      </c>
      <c r="S20" s="298">
        <f t="shared" si="4"/>
        <v>800000</v>
      </c>
      <c r="T20" s="305"/>
      <c r="U20" s="298"/>
      <c r="V20" s="298"/>
      <c r="W20" s="307">
        <v>0.35</v>
      </c>
      <c r="X20" s="298"/>
      <c r="Y20" s="308">
        <f t="shared" si="2"/>
        <v>280000</v>
      </c>
      <c r="Z20" s="219">
        <f t="shared" si="5"/>
        <v>480000</v>
      </c>
      <c r="AA20" s="99">
        <f t="shared" si="3"/>
        <v>200000</v>
      </c>
      <c r="AB20" s="298" t="s">
        <v>1746</v>
      </c>
    </row>
    <row r="21" spans="1:28" s="309" customFormat="1" ht="78.75" x14ac:dyDescent="0.25">
      <c r="A21" s="322">
        <v>18</v>
      </c>
      <c r="B21" s="302">
        <v>43597</v>
      </c>
      <c r="C21" s="148" t="s">
        <v>2422</v>
      </c>
      <c r="D21" s="323" t="s">
        <v>2426</v>
      </c>
      <c r="E21" s="301"/>
      <c r="F21" s="302" t="s">
        <v>510</v>
      </c>
      <c r="G21" s="302"/>
      <c r="H21" s="148" t="s">
        <v>2423</v>
      </c>
      <c r="I21" s="10" t="s">
        <v>2424</v>
      </c>
      <c r="J21" s="310" t="s">
        <v>2425</v>
      </c>
      <c r="K21" s="298" t="s">
        <v>2427</v>
      </c>
      <c r="L21" s="298"/>
      <c r="M21" s="305"/>
      <c r="N21" s="341" t="s">
        <v>740</v>
      </c>
      <c r="O21" s="341"/>
      <c r="P21" s="341">
        <v>300</v>
      </c>
      <c r="Q21" s="342">
        <v>500000</v>
      </c>
      <c r="R21" s="342">
        <v>300000</v>
      </c>
      <c r="S21" s="298">
        <f t="shared" si="4"/>
        <v>800000</v>
      </c>
      <c r="T21" s="305"/>
      <c r="U21" s="298"/>
      <c r="V21" s="298"/>
      <c r="W21" s="307">
        <v>0.35</v>
      </c>
      <c r="X21" s="298"/>
      <c r="Y21" s="308">
        <f t="shared" si="2"/>
        <v>280000</v>
      </c>
      <c r="Z21" s="219">
        <f t="shared" si="5"/>
        <v>480000</v>
      </c>
      <c r="AA21" s="99">
        <f t="shared" si="3"/>
        <v>200000</v>
      </c>
      <c r="AB21" s="298" t="s">
        <v>2474</v>
      </c>
    </row>
    <row r="22" spans="1:28" ht="60" x14ac:dyDescent="0.25">
      <c r="A22" s="48">
        <v>19</v>
      </c>
      <c r="B22" s="46">
        <v>43597</v>
      </c>
      <c r="C22" s="3" t="s">
        <v>2428</v>
      </c>
      <c r="D22" s="560" t="s">
        <v>2429</v>
      </c>
      <c r="E22" s="3"/>
      <c r="F22" s="46" t="s">
        <v>2615</v>
      </c>
      <c r="G22" s="46"/>
      <c r="H22" s="259" t="s">
        <v>2431</v>
      </c>
      <c r="I22" s="561" t="s">
        <v>2430</v>
      </c>
      <c r="J22" s="562" t="s">
        <v>2432</v>
      </c>
      <c r="K22" s="45" t="s">
        <v>2433</v>
      </c>
      <c r="L22" s="45" t="s">
        <v>174</v>
      </c>
      <c r="M22" s="49"/>
      <c r="N22" s="563" t="s">
        <v>740</v>
      </c>
      <c r="O22" s="563"/>
      <c r="P22" s="563">
        <v>300</v>
      </c>
      <c r="Q22" s="564">
        <v>500000</v>
      </c>
      <c r="R22" s="564">
        <v>300000</v>
      </c>
      <c r="S22" s="45">
        <f t="shared" si="4"/>
        <v>800000</v>
      </c>
      <c r="T22" s="49"/>
      <c r="U22" s="45"/>
      <c r="V22" s="45"/>
      <c r="W22" s="262">
        <v>0.35</v>
      </c>
      <c r="X22" s="45"/>
      <c r="Y22" s="130">
        <f t="shared" si="2"/>
        <v>280000</v>
      </c>
      <c r="Z22" s="216">
        <f t="shared" si="5"/>
        <v>480000</v>
      </c>
      <c r="AA22" s="81">
        <f t="shared" si="3"/>
        <v>200000</v>
      </c>
      <c r="AB22" s="45" t="s">
        <v>1746</v>
      </c>
    </row>
    <row r="23" spans="1:28" s="309" customFormat="1" ht="60" x14ac:dyDescent="0.25">
      <c r="A23" s="322">
        <v>20</v>
      </c>
      <c r="B23" s="302">
        <v>43750</v>
      </c>
      <c r="C23" s="301" t="s">
        <v>2525</v>
      </c>
      <c r="D23" s="323" t="s">
        <v>2524</v>
      </c>
      <c r="E23" s="301"/>
      <c r="F23" s="302" t="s">
        <v>168</v>
      </c>
      <c r="G23" s="302"/>
      <c r="H23" s="324" t="s">
        <v>2526</v>
      </c>
      <c r="I23" s="55" t="s">
        <v>2527</v>
      </c>
      <c r="J23" s="304" t="s">
        <v>2528</v>
      </c>
      <c r="K23" s="298" t="s">
        <v>2529</v>
      </c>
      <c r="L23" s="298" t="s">
        <v>174</v>
      </c>
      <c r="M23" s="305"/>
      <c r="N23" s="341" t="s">
        <v>740</v>
      </c>
      <c r="O23" s="341"/>
      <c r="P23" s="341">
        <v>300</v>
      </c>
      <c r="Q23" s="342">
        <v>500000</v>
      </c>
      <c r="R23" s="342">
        <v>300000</v>
      </c>
      <c r="S23" s="298">
        <f t="shared" si="4"/>
        <v>800000</v>
      </c>
      <c r="T23" s="305"/>
      <c r="U23" s="298"/>
      <c r="V23" s="298"/>
      <c r="W23" s="307">
        <v>0.35</v>
      </c>
      <c r="X23" s="298"/>
      <c r="Y23" s="308">
        <f t="shared" si="2"/>
        <v>280000</v>
      </c>
      <c r="Z23" s="219">
        <f t="shared" si="5"/>
        <v>480000</v>
      </c>
      <c r="AA23" s="99">
        <f t="shared" si="3"/>
        <v>200000</v>
      </c>
      <c r="AB23" s="298" t="s">
        <v>1746</v>
      </c>
    </row>
    <row r="24" spans="1:28" s="437" customFormat="1" ht="60" x14ac:dyDescent="0.25">
      <c r="A24" s="482">
        <v>21</v>
      </c>
      <c r="B24" s="428">
        <v>43781</v>
      </c>
      <c r="C24" s="431" t="s">
        <v>2546</v>
      </c>
      <c r="D24" s="483" t="s">
        <v>2544</v>
      </c>
      <c r="E24" s="431"/>
      <c r="F24" s="428" t="s">
        <v>2545</v>
      </c>
      <c r="G24" s="428"/>
      <c r="H24" s="484" t="s">
        <v>2547</v>
      </c>
      <c r="I24" s="485"/>
      <c r="J24" s="500"/>
      <c r="K24" s="319" t="s">
        <v>2548</v>
      </c>
      <c r="L24" s="319" t="s">
        <v>174</v>
      </c>
      <c r="M24" s="325"/>
      <c r="N24" s="501" t="s">
        <v>2160</v>
      </c>
      <c r="O24" s="501"/>
      <c r="P24" s="501">
        <v>500</v>
      </c>
      <c r="Q24" s="502">
        <v>500000</v>
      </c>
      <c r="R24" s="502">
        <v>425000</v>
      </c>
      <c r="S24" s="319">
        <f t="shared" si="4"/>
        <v>925000</v>
      </c>
      <c r="T24" s="325"/>
      <c r="U24" s="319"/>
      <c r="V24" s="319"/>
      <c r="W24" s="435">
        <v>0.35</v>
      </c>
      <c r="X24" s="319"/>
      <c r="Y24" s="436">
        <f t="shared" si="2"/>
        <v>323750</v>
      </c>
      <c r="Z24" s="280">
        <f t="shared" si="5"/>
        <v>555000</v>
      </c>
      <c r="AA24" s="279">
        <f t="shared" si="3"/>
        <v>231250</v>
      </c>
      <c r="AB24" s="319"/>
    </row>
    <row r="25" spans="1:28" s="309" customFormat="1" ht="60" x14ac:dyDescent="0.25">
      <c r="A25" s="322">
        <v>22</v>
      </c>
      <c r="B25" s="302">
        <v>43781</v>
      </c>
      <c r="C25" s="301" t="s">
        <v>2550</v>
      </c>
      <c r="D25" s="323" t="s">
        <v>2549</v>
      </c>
      <c r="E25" s="301"/>
      <c r="F25" s="302" t="s">
        <v>2545</v>
      </c>
      <c r="G25" s="302"/>
      <c r="H25" s="324" t="s">
        <v>2551</v>
      </c>
      <c r="I25" s="55"/>
      <c r="J25" s="56"/>
      <c r="K25" s="298" t="s">
        <v>2552</v>
      </c>
      <c r="L25" s="298" t="s">
        <v>174</v>
      </c>
      <c r="M25" s="305"/>
      <c r="N25" s="341" t="s">
        <v>740</v>
      </c>
      <c r="O25" s="341"/>
      <c r="P25" s="341">
        <v>300</v>
      </c>
      <c r="Q25" s="342">
        <v>500000</v>
      </c>
      <c r="R25" s="342">
        <v>300000</v>
      </c>
      <c r="S25" s="298">
        <f t="shared" si="4"/>
        <v>800000</v>
      </c>
      <c r="T25" s="305"/>
      <c r="U25" s="298"/>
      <c r="V25" s="298"/>
      <c r="W25" s="307">
        <v>0.35</v>
      </c>
      <c r="X25" s="298"/>
      <c r="Y25" s="298">
        <f t="shared" si="2"/>
        <v>280000</v>
      </c>
      <c r="Z25" s="219">
        <f t="shared" si="5"/>
        <v>480000</v>
      </c>
      <c r="AA25" s="99">
        <f t="shared" si="3"/>
        <v>200000</v>
      </c>
      <c r="AB25" s="298"/>
    </row>
    <row r="26" spans="1:28" s="309" customFormat="1" ht="90" x14ac:dyDescent="0.25">
      <c r="A26" s="322">
        <v>23</v>
      </c>
      <c r="B26" s="302">
        <v>43811</v>
      </c>
      <c r="C26" s="301" t="s">
        <v>2572</v>
      </c>
      <c r="D26" s="323" t="s">
        <v>2574</v>
      </c>
      <c r="E26" s="301"/>
      <c r="F26" s="302" t="s">
        <v>2400</v>
      </c>
      <c r="G26" s="302"/>
      <c r="H26" s="324" t="s">
        <v>2573</v>
      </c>
      <c r="I26" s="55" t="s">
        <v>2576</v>
      </c>
      <c r="J26" s="56"/>
      <c r="K26" s="298" t="s">
        <v>2575</v>
      </c>
      <c r="L26" s="298"/>
      <c r="M26" s="305"/>
      <c r="N26" s="341" t="s">
        <v>740</v>
      </c>
      <c r="O26" s="341"/>
      <c r="P26" s="341">
        <v>300</v>
      </c>
      <c r="Q26" s="342">
        <v>500000</v>
      </c>
      <c r="R26" s="342">
        <v>300000</v>
      </c>
      <c r="S26" s="298">
        <f t="shared" si="4"/>
        <v>800000</v>
      </c>
      <c r="T26" s="305"/>
      <c r="U26" s="298"/>
      <c r="V26" s="298"/>
      <c r="W26" s="307">
        <v>0.35</v>
      </c>
      <c r="X26" s="298"/>
      <c r="Y26" s="298">
        <f t="shared" si="2"/>
        <v>280000</v>
      </c>
      <c r="Z26" s="219">
        <f t="shared" si="5"/>
        <v>480000</v>
      </c>
      <c r="AA26" s="99">
        <f t="shared" si="3"/>
        <v>200000</v>
      </c>
      <c r="AB26" s="298" t="s">
        <v>1746</v>
      </c>
    </row>
    <row r="27" spans="1:28" s="309" customFormat="1" ht="75" x14ac:dyDescent="0.25">
      <c r="A27" s="322">
        <v>24</v>
      </c>
      <c r="B27" s="302">
        <v>43811</v>
      </c>
      <c r="C27" s="301" t="s">
        <v>2577</v>
      </c>
      <c r="D27" s="323" t="s">
        <v>2578</v>
      </c>
      <c r="E27" s="301"/>
      <c r="F27" s="302" t="s">
        <v>2400</v>
      </c>
      <c r="G27" s="302"/>
      <c r="H27" s="324" t="s">
        <v>2579</v>
      </c>
      <c r="I27" s="55" t="s">
        <v>2580</v>
      </c>
      <c r="J27" s="56"/>
      <c r="K27" s="298" t="s">
        <v>2581</v>
      </c>
      <c r="L27" s="298" t="s">
        <v>174</v>
      </c>
      <c r="M27" s="305"/>
      <c r="N27" s="341" t="s">
        <v>740</v>
      </c>
      <c r="O27" s="341"/>
      <c r="P27" s="341">
        <v>300</v>
      </c>
      <c r="Q27" s="342">
        <v>500000</v>
      </c>
      <c r="R27" s="342">
        <v>300000</v>
      </c>
      <c r="S27" s="298">
        <f t="shared" si="4"/>
        <v>800000</v>
      </c>
      <c r="T27" s="305"/>
      <c r="U27" s="298"/>
      <c r="V27" s="298"/>
      <c r="W27" s="307">
        <v>0.35</v>
      </c>
      <c r="X27" s="298"/>
      <c r="Y27" s="298">
        <f t="shared" si="2"/>
        <v>280000</v>
      </c>
      <c r="Z27" s="219">
        <f t="shared" si="5"/>
        <v>480000</v>
      </c>
      <c r="AA27" s="99">
        <f t="shared" si="3"/>
        <v>200000</v>
      </c>
      <c r="AB27" s="298" t="s">
        <v>1746</v>
      </c>
    </row>
    <row r="28" spans="1:28" s="437" customFormat="1" ht="60" x14ac:dyDescent="0.25">
      <c r="A28" s="482">
        <v>25</v>
      </c>
      <c r="B28" s="319" t="s">
        <v>2582</v>
      </c>
      <c r="C28" s="431" t="s">
        <v>2612</v>
      </c>
      <c r="D28" s="483" t="s">
        <v>2613</v>
      </c>
      <c r="E28" s="431"/>
      <c r="F28" s="428" t="s">
        <v>2615</v>
      </c>
      <c r="G28" s="428"/>
      <c r="H28" s="484" t="s">
        <v>2614</v>
      </c>
      <c r="I28" s="485" t="s">
        <v>2616</v>
      </c>
      <c r="J28" s="434" t="s">
        <v>2617</v>
      </c>
      <c r="K28" s="319" t="s">
        <v>2618</v>
      </c>
      <c r="L28" s="319" t="s">
        <v>174</v>
      </c>
      <c r="M28" s="325"/>
      <c r="N28" s="501" t="s">
        <v>740</v>
      </c>
      <c r="O28" s="501"/>
      <c r="P28" s="501">
        <v>300</v>
      </c>
      <c r="Q28" s="502">
        <v>500000</v>
      </c>
      <c r="R28" s="502">
        <v>300000</v>
      </c>
      <c r="S28" s="319">
        <f t="shared" si="4"/>
        <v>800000</v>
      </c>
      <c r="T28" s="325"/>
      <c r="U28" s="319"/>
      <c r="V28" s="319"/>
      <c r="W28" s="435">
        <v>0.35</v>
      </c>
      <c r="X28" s="319"/>
      <c r="Y28" s="319">
        <f t="shared" si="2"/>
        <v>280000</v>
      </c>
      <c r="Z28" s="280">
        <f t="shared" si="5"/>
        <v>480000</v>
      </c>
      <c r="AA28" s="279">
        <f t="shared" si="3"/>
        <v>200000</v>
      </c>
      <c r="AB28" s="319"/>
    </row>
    <row r="29" spans="1:28" s="309" customFormat="1" ht="75" x14ac:dyDescent="0.25">
      <c r="A29" s="322">
        <v>26</v>
      </c>
      <c r="B29" s="298" t="s">
        <v>2619</v>
      </c>
      <c r="C29" s="301" t="s">
        <v>2623</v>
      </c>
      <c r="D29" s="323" t="s">
        <v>2624</v>
      </c>
      <c r="E29" s="301"/>
      <c r="F29" s="302" t="s">
        <v>105</v>
      </c>
      <c r="G29" s="302"/>
      <c r="H29" s="324" t="s">
        <v>2625</v>
      </c>
      <c r="I29" s="55"/>
      <c r="J29" s="56"/>
      <c r="K29" s="298" t="s">
        <v>2626</v>
      </c>
      <c r="L29" s="298" t="s">
        <v>174</v>
      </c>
      <c r="M29" s="305"/>
      <c r="N29" s="341" t="s">
        <v>740</v>
      </c>
      <c r="O29" s="341"/>
      <c r="P29" s="341">
        <v>300</v>
      </c>
      <c r="Q29" s="342">
        <v>500000</v>
      </c>
      <c r="R29" s="342">
        <v>300000</v>
      </c>
      <c r="S29" s="298">
        <f t="shared" si="4"/>
        <v>800000</v>
      </c>
      <c r="T29" s="305"/>
      <c r="U29" s="298"/>
      <c r="V29" s="298"/>
      <c r="W29" s="307">
        <v>0.35</v>
      </c>
      <c r="X29" s="298"/>
      <c r="Y29" s="298">
        <f t="shared" si="2"/>
        <v>280000</v>
      </c>
      <c r="Z29" s="219">
        <f t="shared" si="5"/>
        <v>480000</v>
      </c>
      <c r="AA29" s="99">
        <f t="shared" si="3"/>
        <v>200000</v>
      </c>
      <c r="AB29" s="298" t="s">
        <v>1746</v>
      </c>
    </row>
    <row r="30" spans="1:28" s="309" customFormat="1" ht="60" x14ac:dyDescent="0.25">
      <c r="A30" s="322">
        <v>27</v>
      </c>
      <c r="B30" s="298" t="s">
        <v>2619</v>
      </c>
      <c r="C30" s="301" t="s">
        <v>2631</v>
      </c>
      <c r="D30" s="323" t="s">
        <v>2630</v>
      </c>
      <c r="E30" s="301"/>
      <c r="F30" s="302" t="s">
        <v>105</v>
      </c>
      <c r="G30" s="302"/>
      <c r="H30" s="324" t="s">
        <v>2632</v>
      </c>
      <c r="I30" s="55"/>
      <c r="J30" s="56"/>
      <c r="K30" s="298" t="s">
        <v>2633</v>
      </c>
      <c r="L30" s="298" t="s">
        <v>174</v>
      </c>
      <c r="M30" s="305"/>
      <c r="N30" s="341" t="s">
        <v>740</v>
      </c>
      <c r="O30" s="341"/>
      <c r="P30" s="341">
        <v>300</v>
      </c>
      <c r="Q30" s="342">
        <v>500000</v>
      </c>
      <c r="R30" s="342">
        <v>300000</v>
      </c>
      <c r="S30" s="298">
        <f t="shared" si="4"/>
        <v>800000</v>
      </c>
      <c r="T30" s="305"/>
      <c r="U30" s="298"/>
      <c r="V30" s="298"/>
      <c r="W30" s="307">
        <v>0.35</v>
      </c>
      <c r="X30" s="298"/>
      <c r="Y30" s="298">
        <f t="shared" si="2"/>
        <v>280000</v>
      </c>
      <c r="Z30" s="219">
        <f t="shared" si="5"/>
        <v>480000</v>
      </c>
      <c r="AA30" s="99">
        <f t="shared" si="3"/>
        <v>200000</v>
      </c>
      <c r="AB30" s="298" t="s">
        <v>1746</v>
      </c>
    </row>
    <row r="31" spans="1:28" s="437" customFormat="1" ht="60" x14ac:dyDescent="0.25">
      <c r="A31" s="482">
        <v>28</v>
      </c>
      <c r="B31" s="319" t="s">
        <v>2619</v>
      </c>
      <c r="C31" s="431" t="s">
        <v>2634</v>
      </c>
      <c r="D31" s="483" t="s">
        <v>2635</v>
      </c>
      <c r="E31" s="431"/>
      <c r="F31" s="428" t="s">
        <v>105</v>
      </c>
      <c r="G31" s="428"/>
      <c r="H31" s="484" t="s">
        <v>2636</v>
      </c>
      <c r="I31" s="485"/>
      <c r="J31" s="500"/>
      <c r="K31" s="319" t="s">
        <v>2637</v>
      </c>
      <c r="L31" s="319" t="s">
        <v>174</v>
      </c>
      <c r="M31" s="325"/>
      <c r="N31" s="501" t="s">
        <v>740</v>
      </c>
      <c r="O31" s="501"/>
      <c r="P31" s="501">
        <v>300</v>
      </c>
      <c r="Q31" s="502">
        <v>500000</v>
      </c>
      <c r="R31" s="502">
        <v>300000</v>
      </c>
      <c r="S31" s="319">
        <f t="shared" si="4"/>
        <v>800000</v>
      </c>
      <c r="T31" s="325"/>
      <c r="U31" s="319"/>
      <c r="V31" s="319"/>
      <c r="W31" s="435">
        <v>0.35</v>
      </c>
      <c r="X31" s="319"/>
      <c r="Y31" s="319">
        <f t="shared" si="2"/>
        <v>280000</v>
      </c>
      <c r="Z31" s="280">
        <f t="shared" si="5"/>
        <v>480000</v>
      </c>
      <c r="AA31" s="279">
        <f t="shared" si="3"/>
        <v>200000</v>
      </c>
      <c r="AB31" s="319"/>
    </row>
    <row r="32" spans="1:28" s="437" customFormat="1" ht="60" x14ac:dyDescent="0.25">
      <c r="A32" s="482">
        <v>29</v>
      </c>
      <c r="B32" s="319" t="s">
        <v>2647</v>
      </c>
      <c r="C32" s="431" t="s">
        <v>2681</v>
      </c>
      <c r="D32" s="483" t="s">
        <v>2682</v>
      </c>
      <c r="E32" s="431"/>
      <c r="F32" s="428" t="s">
        <v>105</v>
      </c>
      <c r="G32" s="428"/>
      <c r="H32" s="484" t="s">
        <v>2683</v>
      </c>
      <c r="I32" s="485"/>
      <c r="J32" s="500"/>
      <c r="K32" s="319" t="s">
        <v>981</v>
      </c>
      <c r="L32" s="319"/>
      <c r="M32" s="325"/>
      <c r="N32" s="501" t="s">
        <v>740</v>
      </c>
      <c r="O32" s="501"/>
      <c r="P32" s="501">
        <v>300</v>
      </c>
      <c r="Q32" s="502">
        <v>500000</v>
      </c>
      <c r="R32" s="502">
        <v>300000</v>
      </c>
      <c r="S32" s="319">
        <f t="shared" si="4"/>
        <v>800000</v>
      </c>
      <c r="T32" s="325"/>
      <c r="U32" s="319"/>
      <c r="V32" s="319"/>
      <c r="W32" s="435">
        <v>0.35</v>
      </c>
      <c r="X32" s="319"/>
      <c r="Y32" s="319">
        <f t="shared" si="2"/>
        <v>280000</v>
      </c>
      <c r="Z32" s="280">
        <f t="shared" si="5"/>
        <v>480000</v>
      </c>
      <c r="AA32" s="279">
        <f t="shared" si="3"/>
        <v>200000</v>
      </c>
      <c r="AB32" s="319"/>
    </row>
    <row r="33" spans="1:28" s="437" customFormat="1" ht="60" x14ac:dyDescent="0.25">
      <c r="A33" s="482">
        <v>30</v>
      </c>
      <c r="B33" s="319" t="s">
        <v>2647</v>
      </c>
      <c r="C33" s="431" t="s">
        <v>2689</v>
      </c>
      <c r="D33" s="483" t="s">
        <v>2688</v>
      </c>
      <c r="E33" s="431"/>
      <c r="F33" s="428" t="s">
        <v>105</v>
      </c>
      <c r="G33" s="428"/>
      <c r="H33" s="484" t="s">
        <v>2690</v>
      </c>
      <c r="I33" s="485"/>
      <c r="J33" s="500"/>
      <c r="K33" s="319"/>
      <c r="L33" s="319"/>
      <c r="M33" s="325"/>
      <c r="N33" s="501" t="s">
        <v>740</v>
      </c>
      <c r="O33" s="501"/>
      <c r="P33" s="501">
        <v>300</v>
      </c>
      <c r="Q33" s="502">
        <v>500000</v>
      </c>
      <c r="R33" s="502">
        <v>300000</v>
      </c>
      <c r="S33" s="319">
        <f t="shared" si="4"/>
        <v>800000</v>
      </c>
      <c r="T33" s="325"/>
      <c r="U33" s="319"/>
      <c r="V33" s="319"/>
      <c r="W33" s="435">
        <v>0.35</v>
      </c>
      <c r="X33" s="319"/>
      <c r="Y33" s="319">
        <f t="shared" si="2"/>
        <v>280000</v>
      </c>
      <c r="Z33" s="280">
        <f t="shared" si="5"/>
        <v>480000</v>
      </c>
      <c r="AA33" s="279">
        <f t="shared" si="3"/>
        <v>200000</v>
      </c>
      <c r="AB33" s="319"/>
    </row>
    <row r="34" spans="1:28" ht="45" x14ac:dyDescent="0.25">
      <c r="A34" s="48">
        <v>31</v>
      </c>
      <c r="B34" s="45" t="s">
        <v>2695</v>
      </c>
      <c r="C34" s="3" t="s">
        <v>2696</v>
      </c>
      <c r="D34" s="560" t="s">
        <v>2697</v>
      </c>
      <c r="E34" s="3"/>
      <c r="F34" s="46" t="s">
        <v>2545</v>
      </c>
      <c r="G34" s="46"/>
      <c r="H34" s="259" t="s">
        <v>2698</v>
      </c>
      <c r="I34" s="561"/>
      <c r="J34" s="566"/>
      <c r="K34" s="45"/>
      <c r="L34" s="45"/>
      <c r="M34" s="49"/>
      <c r="N34" s="563" t="s">
        <v>740</v>
      </c>
      <c r="O34" s="563"/>
      <c r="P34" s="563">
        <v>300</v>
      </c>
      <c r="Q34" s="564">
        <v>500000</v>
      </c>
      <c r="R34" s="564">
        <v>300000</v>
      </c>
      <c r="S34" s="45">
        <f t="shared" si="4"/>
        <v>800000</v>
      </c>
      <c r="T34" s="49"/>
      <c r="U34" s="45"/>
      <c r="V34" s="45"/>
      <c r="W34" s="262">
        <v>0.35</v>
      </c>
      <c r="X34" s="45"/>
      <c r="Y34" s="45">
        <f t="shared" si="2"/>
        <v>280000</v>
      </c>
      <c r="Z34" s="216">
        <f t="shared" si="5"/>
        <v>480000</v>
      </c>
      <c r="AA34" s="81">
        <f t="shared" si="3"/>
        <v>200000</v>
      </c>
      <c r="AB34" s="45" t="s">
        <v>1641</v>
      </c>
    </row>
    <row r="35" spans="1:28" s="437" customFormat="1" ht="60" x14ac:dyDescent="0.25">
      <c r="A35" s="482">
        <v>32</v>
      </c>
      <c r="B35" s="319" t="s">
        <v>2708</v>
      </c>
      <c r="C35" s="431" t="s">
        <v>2715</v>
      </c>
      <c r="D35" s="483" t="s">
        <v>2716</v>
      </c>
      <c r="E35" s="431"/>
      <c r="F35" s="428" t="s">
        <v>105</v>
      </c>
      <c r="G35" s="428"/>
      <c r="H35" s="484" t="s">
        <v>2717</v>
      </c>
      <c r="I35" s="485"/>
      <c r="J35" s="500"/>
      <c r="K35" s="319"/>
      <c r="L35" s="319"/>
      <c r="M35" s="325"/>
      <c r="N35" s="501" t="s">
        <v>740</v>
      </c>
      <c r="O35" s="501"/>
      <c r="P35" s="501">
        <v>300</v>
      </c>
      <c r="Q35" s="502">
        <v>500000</v>
      </c>
      <c r="R35" s="502">
        <v>300000</v>
      </c>
      <c r="S35" s="319">
        <f>Q35+R35</f>
        <v>800000</v>
      </c>
      <c r="T35" s="325"/>
      <c r="U35" s="319"/>
      <c r="V35" s="319"/>
      <c r="W35" s="435">
        <v>0.35</v>
      </c>
      <c r="X35" s="319"/>
      <c r="Y35" s="319">
        <f t="shared" si="2"/>
        <v>280000</v>
      </c>
      <c r="Z35" s="280">
        <f t="shared" si="5"/>
        <v>480000</v>
      </c>
      <c r="AA35" s="279">
        <f t="shared" si="3"/>
        <v>200000</v>
      </c>
      <c r="AB35" s="319"/>
    </row>
    <row r="36" spans="1:28" s="437" customFormat="1" ht="63" x14ac:dyDescent="0.25">
      <c r="A36" s="482">
        <v>33</v>
      </c>
      <c r="B36" s="266" t="s">
        <v>2769</v>
      </c>
      <c r="C36" s="358" t="s">
        <v>2777</v>
      </c>
      <c r="D36" s="503" t="s">
        <v>2775</v>
      </c>
      <c r="E36" s="335" t="s">
        <v>2775</v>
      </c>
      <c r="F36" s="428" t="s">
        <v>105</v>
      </c>
      <c r="G36" s="428"/>
      <c r="H36" s="504" t="s">
        <v>2776</v>
      </c>
      <c r="I36" s="358"/>
      <c r="J36" s="500"/>
      <c r="K36" s="319"/>
      <c r="L36" s="319"/>
      <c r="M36" s="325"/>
      <c r="N36" s="501" t="s">
        <v>740</v>
      </c>
      <c r="O36" s="501"/>
      <c r="P36" s="501">
        <v>300</v>
      </c>
      <c r="Q36" s="502">
        <v>500000</v>
      </c>
      <c r="R36" s="502">
        <v>300000</v>
      </c>
      <c r="S36" s="319">
        <f t="shared" si="4"/>
        <v>800000</v>
      </c>
      <c r="T36" s="325"/>
      <c r="U36" s="319"/>
      <c r="V36" s="319"/>
      <c r="W36" s="435">
        <v>0.35</v>
      </c>
      <c r="X36" s="319"/>
      <c r="Y36" s="319">
        <f t="shared" si="2"/>
        <v>280000</v>
      </c>
      <c r="Z36" s="280">
        <f t="shared" si="5"/>
        <v>480000</v>
      </c>
      <c r="AA36" s="279">
        <f t="shared" si="3"/>
        <v>200000</v>
      </c>
      <c r="AB36" s="319"/>
    </row>
    <row r="37" spans="1:28" s="437" customFormat="1" ht="60" x14ac:dyDescent="0.25">
      <c r="A37" s="482">
        <v>34</v>
      </c>
      <c r="B37" s="266" t="s">
        <v>2769</v>
      </c>
      <c r="C37" s="431" t="s">
        <v>2778</v>
      </c>
      <c r="D37" s="483" t="s">
        <v>2779</v>
      </c>
      <c r="E37" s="431"/>
      <c r="F37" s="428" t="s">
        <v>105</v>
      </c>
      <c r="G37" s="428"/>
      <c r="H37" s="484" t="s">
        <v>2780</v>
      </c>
      <c r="I37" s="485"/>
      <c r="J37" s="500"/>
      <c r="K37" s="319"/>
      <c r="L37" s="319"/>
      <c r="M37" s="325"/>
      <c r="N37" s="501" t="s">
        <v>740</v>
      </c>
      <c r="O37" s="501"/>
      <c r="P37" s="501">
        <v>300</v>
      </c>
      <c r="Q37" s="502">
        <v>500000</v>
      </c>
      <c r="R37" s="502">
        <v>300000</v>
      </c>
      <c r="S37" s="319">
        <f t="shared" si="4"/>
        <v>800000</v>
      </c>
      <c r="T37" s="325"/>
      <c r="U37" s="319"/>
      <c r="V37" s="319"/>
      <c r="W37" s="435">
        <v>0.35</v>
      </c>
      <c r="X37" s="319"/>
      <c r="Y37" s="319">
        <f t="shared" si="2"/>
        <v>280000</v>
      </c>
      <c r="Z37" s="280">
        <f t="shared" si="5"/>
        <v>480000</v>
      </c>
      <c r="AA37" s="279">
        <f t="shared" si="3"/>
        <v>200000</v>
      </c>
      <c r="AB37" s="319"/>
    </row>
    <row r="38" spans="1:28" s="309" customFormat="1" ht="63" x14ac:dyDescent="0.25">
      <c r="A38" s="322">
        <v>35</v>
      </c>
      <c r="B38" s="19" t="s">
        <v>2769</v>
      </c>
      <c r="C38" s="148" t="s">
        <v>2798</v>
      </c>
      <c r="D38" s="153" t="s">
        <v>2799</v>
      </c>
      <c r="E38" s="301"/>
      <c r="F38" s="302" t="s">
        <v>105</v>
      </c>
      <c r="G38" s="302"/>
      <c r="H38" s="148" t="s">
        <v>2800</v>
      </c>
      <c r="I38" s="55"/>
      <c r="J38" s="56"/>
      <c r="K38" s="298"/>
      <c r="L38" s="298"/>
      <c r="M38" s="305"/>
      <c r="N38" s="341" t="s">
        <v>740</v>
      </c>
      <c r="O38" s="341"/>
      <c r="P38" s="341">
        <v>300</v>
      </c>
      <c r="Q38" s="342">
        <v>500000</v>
      </c>
      <c r="R38" s="342">
        <v>300000</v>
      </c>
      <c r="S38" s="298">
        <f t="shared" ref="S38:S57" si="6">Q38+R38</f>
        <v>800000</v>
      </c>
      <c r="T38" s="305"/>
      <c r="U38" s="298"/>
      <c r="V38" s="298"/>
      <c r="W38" s="307">
        <v>0.35</v>
      </c>
      <c r="X38" s="298"/>
      <c r="Y38" s="298">
        <f t="shared" si="2"/>
        <v>280000</v>
      </c>
      <c r="Z38" s="219">
        <f t="shared" si="5"/>
        <v>480000</v>
      </c>
      <c r="AA38" s="99">
        <f t="shared" si="3"/>
        <v>200000</v>
      </c>
      <c r="AB38" s="298" t="s">
        <v>1746</v>
      </c>
    </row>
    <row r="39" spans="1:28" s="437" customFormat="1" ht="60" x14ac:dyDescent="0.25">
      <c r="A39" s="482">
        <v>36</v>
      </c>
      <c r="B39" s="319" t="s">
        <v>2834</v>
      </c>
      <c r="C39" s="431" t="s">
        <v>2853</v>
      </c>
      <c r="D39" s="483" t="s">
        <v>2855</v>
      </c>
      <c r="E39" s="431"/>
      <c r="F39" s="428"/>
      <c r="G39" s="428"/>
      <c r="H39" s="484" t="s">
        <v>2854</v>
      </c>
      <c r="I39" s="485"/>
      <c r="J39" s="500"/>
      <c r="K39" s="319"/>
      <c r="L39" s="319"/>
      <c r="M39" s="325"/>
      <c r="N39" s="501" t="s">
        <v>740</v>
      </c>
      <c r="O39" s="501"/>
      <c r="P39" s="501">
        <v>300</v>
      </c>
      <c r="Q39" s="502">
        <v>500000</v>
      </c>
      <c r="R39" s="502">
        <v>300000</v>
      </c>
      <c r="S39" s="319">
        <f t="shared" si="6"/>
        <v>800000</v>
      </c>
      <c r="T39" s="325"/>
      <c r="U39" s="319"/>
      <c r="V39" s="319"/>
      <c r="W39" s="435">
        <v>0.35</v>
      </c>
      <c r="X39" s="319"/>
      <c r="Y39" s="319">
        <f t="shared" si="2"/>
        <v>280000</v>
      </c>
      <c r="Z39" s="280">
        <f t="shared" si="5"/>
        <v>480000</v>
      </c>
      <c r="AA39" s="279">
        <f t="shared" si="3"/>
        <v>200000</v>
      </c>
      <c r="AB39" s="319"/>
    </row>
    <row r="40" spans="1:28" s="437" customFormat="1" ht="60" x14ac:dyDescent="0.25">
      <c r="A40" s="482">
        <v>37</v>
      </c>
      <c r="B40" s="319" t="s">
        <v>2868</v>
      </c>
      <c r="C40" s="431" t="s">
        <v>2875</v>
      </c>
      <c r="D40" s="483" t="s">
        <v>2874</v>
      </c>
      <c r="E40" s="431"/>
      <c r="F40" s="428" t="s">
        <v>105</v>
      </c>
      <c r="G40" s="428"/>
      <c r="H40" s="484" t="s">
        <v>2876</v>
      </c>
      <c r="I40" s="485"/>
      <c r="J40" s="500"/>
      <c r="K40" s="319"/>
      <c r="L40" s="319"/>
      <c r="M40" s="325"/>
      <c r="N40" s="501" t="s">
        <v>740</v>
      </c>
      <c r="O40" s="501"/>
      <c r="P40" s="501">
        <v>300</v>
      </c>
      <c r="Q40" s="502">
        <v>500000</v>
      </c>
      <c r="R40" s="502">
        <v>300000</v>
      </c>
      <c r="S40" s="319">
        <f t="shared" si="6"/>
        <v>800000</v>
      </c>
      <c r="T40" s="325"/>
      <c r="U40" s="319"/>
      <c r="V40" s="319"/>
      <c r="W40" s="435">
        <v>0.35</v>
      </c>
      <c r="X40" s="319"/>
      <c r="Y40" s="319">
        <f t="shared" si="2"/>
        <v>280000</v>
      </c>
      <c r="Z40" s="280">
        <f t="shared" si="5"/>
        <v>480000</v>
      </c>
      <c r="AA40" s="279">
        <f t="shared" si="3"/>
        <v>200000</v>
      </c>
      <c r="AB40" s="319"/>
    </row>
    <row r="41" spans="1:28" s="437" customFormat="1" ht="60" x14ac:dyDescent="0.25">
      <c r="A41" s="482">
        <v>38</v>
      </c>
      <c r="B41" s="319" t="s">
        <v>2868</v>
      </c>
      <c r="C41" s="358" t="s">
        <v>2898</v>
      </c>
      <c r="D41" s="483" t="s">
        <v>2899</v>
      </c>
      <c r="E41" s="431"/>
      <c r="F41" s="428"/>
      <c r="G41" s="428"/>
      <c r="H41" s="484" t="s">
        <v>2900</v>
      </c>
      <c r="I41" s="485"/>
      <c r="J41" s="500"/>
      <c r="K41" s="319"/>
      <c r="L41" s="319"/>
      <c r="M41" s="325"/>
      <c r="N41" s="501" t="s">
        <v>740</v>
      </c>
      <c r="O41" s="501"/>
      <c r="P41" s="501">
        <v>300</v>
      </c>
      <c r="Q41" s="502">
        <v>500000</v>
      </c>
      <c r="R41" s="502">
        <v>300000</v>
      </c>
      <c r="S41" s="319">
        <f t="shared" si="6"/>
        <v>800000</v>
      </c>
      <c r="T41" s="325"/>
      <c r="U41" s="319"/>
      <c r="V41" s="319"/>
      <c r="W41" s="435">
        <v>0.35</v>
      </c>
      <c r="X41" s="319"/>
      <c r="Y41" s="319">
        <f t="shared" si="2"/>
        <v>280000</v>
      </c>
      <c r="Z41" s="280">
        <f t="shared" si="5"/>
        <v>480000</v>
      </c>
      <c r="AA41" s="279">
        <f t="shared" si="3"/>
        <v>200000</v>
      </c>
      <c r="AB41" s="319"/>
    </row>
    <row r="42" spans="1:28" s="437" customFormat="1" ht="45" x14ac:dyDescent="0.25">
      <c r="A42" s="482">
        <v>39</v>
      </c>
      <c r="B42" s="319" t="s">
        <v>2868</v>
      </c>
      <c r="C42" s="431" t="s">
        <v>2917</v>
      </c>
      <c r="D42" s="483" t="s">
        <v>2918</v>
      </c>
      <c r="E42" s="431"/>
      <c r="F42" s="428" t="s">
        <v>105</v>
      </c>
      <c r="G42" s="428"/>
      <c r="H42" s="484" t="s">
        <v>2919</v>
      </c>
      <c r="I42" s="485"/>
      <c r="J42" s="500"/>
      <c r="K42" s="319"/>
      <c r="L42" s="319"/>
      <c r="M42" s="325"/>
      <c r="N42" s="501" t="s">
        <v>740</v>
      </c>
      <c r="O42" s="501"/>
      <c r="P42" s="501">
        <v>300</v>
      </c>
      <c r="Q42" s="502">
        <v>500000</v>
      </c>
      <c r="R42" s="502">
        <v>300000</v>
      </c>
      <c r="S42" s="319">
        <f t="shared" si="6"/>
        <v>800000</v>
      </c>
      <c r="T42" s="325"/>
      <c r="U42" s="319"/>
      <c r="V42" s="319"/>
      <c r="W42" s="435">
        <v>0.35</v>
      </c>
      <c r="X42" s="319"/>
      <c r="Y42" s="319">
        <f t="shared" si="2"/>
        <v>280000</v>
      </c>
      <c r="Z42" s="280">
        <f t="shared" si="5"/>
        <v>480000</v>
      </c>
      <c r="AA42" s="279">
        <f t="shared" si="3"/>
        <v>200000</v>
      </c>
      <c r="AB42" s="319"/>
    </row>
    <row r="43" spans="1:28" s="437" customFormat="1" ht="60" x14ac:dyDescent="0.25">
      <c r="A43" s="482">
        <v>40</v>
      </c>
      <c r="B43" s="319" t="s">
        <v>2923</v>
      </c>
      <c r="C43" s="431" t="s">
        <v>2942</v>
      </c>
      <c r="D43" s="483" t="s">
        <v>2941</v>
      </c>
      <c r="E43" s="431"/>
      <c r="F43" s="428" t="s">
        <v>2943</v>
      </c>
      <c r="G43" s="428"/>
      <c r="H43" s="484" t="s">
        <v>2944</v>
      </c>
      <c r="I43" s="485"/>
      <c r="J43" s="500"/>
      <c r="K43" s="319"/>
      <c r="L43" s="319"/>
      <c r="M43" s="325"/>
      <c r="N43" s="501" t="s">
        <v>740</v>
      </c>
      <c r="O43" s="501"/>
      <c r="P43" s="501">
        <v>300</v>
      </c>
      <c r="Q43" s="502">
        <v>500000</v>
      </c>
      <c r="R43" s="502">
        <v>300000</v>
      </c>
      <c r="S43" s="319">
        <f t="shared" si="6"/>
        <v>800000</v>
      </c>
      <c r="T43" s="325"/>
      <c r="U43" s="319"/>
      <c r="V43" s="319"/>
      <c r="W43" s="435">
        <v>0.35</v>
      </c>
      <c r="X43" s="319"/>
      <c r="Y43" s="319">
        <f t="shared" si="2"/>
        <v>280000</v>
      </c>
      <c r="Z43" s="280">
        <f t="shared" si="5"/>
        <v>480000</v>
      </c>
      <c r="AA43" s="279">
        <f t="shared" si="3"/>
        <v>200000</v>
      </c>
      <c r="AB43" s="319"/>
    </row>
    <row r="44" spans="1:28" s="437" customFormat="1" ht="60" x14ac:dyDescent="0.25">
      <c r="A44" s="482">
        <v>41</v>
      </c>
      <c r="B44" s="319" t="s">
        <v>2923</v>
      </c>
      <c r="C44" s="431" t="s">
        <v>2945</v>
      </c>
      <c r="D44" s="483" t="s">
        <v>2947</v>
      </c>
      <c r="E44" s="431"/>
      <c r="F44" s="428"/>
      <c r="G44" s="428"/>
      <c r="H44" s="484" t="s">
        <v>2946</v>
      </c>
      <c r="I44" s="485"/>
      <c r="J44" s="500"/>
      <c r="K44" s="319"/>
      <c r="L44" s="319"/>
      <c r="M44" s="325"/>
      <c r="N44" s="325" t="s">
        <v>2948</v>
      </c>
      <c r="O44" s="325"/>
      <c r="P44" s="325">
        <v>2000</v>
      </c>
      <c r="Q44" s="502">
        <v>500000</v>
      </c>
      <c r="R44" s="319">
        <v>1100000</v>
      </c>
      <c r="S44" s="319">
        <f t="shared" si="6"/>
        <v>1600000</v>
      </c>
      <c r="T44" s="325"/>
      <c r="U44" s="319"/>
      <c r="V44" s="319"/>
      <c r="W44" s="435">
        <v>0.35</v>
      </c>
      <c r="X44" s="319"/>
      <c r="Y44" s="319">
        <f t="shared" si="2"/>
        <v>560000</v>
      </c>
      <c r="Z44" s="280">
        <f t="shared" si="5"/>
        <v>960000</v>
      </c>
      <c r="AA44" s="279">
        <f t="shared" si="3"/>
        <v>400000</v>
      </c>
      <c r="AB44" s="319"/>
    </row>
    <row r="45" spans="1:28" s="309" customFormat="1" ht="60" x14ac:dyDescent="0.25">
      <c r="A45" s="322">
        <v>42</v>
      </c>
      <c r="B45" s="10" t="s">
        <v>2923</v>
      </c>
      <c r="C45" s="148" t="s">
        <v>2956</v>
      </c>
      <c r="D45" s="153" t="s">
        <v>2957</v>
      </c>
      <c r="E45" s="301"/>
      <c r="F45" s="302" t="s">
        <v>309</v>
      </c>
      <c r="G45" s="302"/>
      <c r="H45" s="324" t="s">
        <v>2958</v>
      </c>
      <c r="I45" s="55"/>
      <c r="J45" s="56"/>
      <c r="K45" s="298"/>
      <c r="L45" s="298"/>
      <c r="M45" s="305"/>
      <c r="N45" s="341" t="s">
        <v>740</v>
      </c>
      <c r="O45" s="341"/>
      <c r="P45" s="341">
        <v>300</v>
      </c>
      <c r="Q45" s="342">
        <v>500000</v>
      </c>
      <c r="R45" s="342">
        <v>300000</v>
      </c>
      <c r="S45" s="298">
        <f t="shared" si="6"/>
        <v>800000</v>
      </c>
      <c r="T45" s="305"/>
      <c r="U45" s="298"/>
      <c r="V45" s="298"/>
      <c r="W45" s="307">
        <v>0.35</v>
      </c>
      <c r="X45" s="298"/>
      <c r="Y45" s="298">
        <f t="shared" si="2"/>
        <v>280000</v>
      </c>
      <c r="Z45" s="219">
        <f t="shared" si="5"/>
        <v>480000</v>
      </c>
      <c r="AA45" s="99">
        <f t="shared" si="3"/>
        <v>200000</v>
      </c>
      <c r="AB45" s="298"/>
    </row>
    <row r="46" spans="1:28" s="437" customFormat="1" ht="60" x14ac:dyDescent="0.25">
      <c r="A46" s="482">
        <v>43</v>
      </c>
      <c r="B46" s="269" t="s">
        <v>2923</v>
      </c>
      <c r="C46" s="431" t="s">
        <v>2968</v>
      </c>
      <c r="D46" s="483" t="s">
        <v>2969</v>
      </c>
      <c r="E46" s="431"/>
      <c r="F46" s="428" t="s">
        <v>105</v>
      </c>
      <c r="G46" s="428"/>
      <c r="H46" s="484" t="s">
        <v>2970</v>
      </c>
      <c r="I46" s="485"/>
      <c r="J46" s="500"/>
      <c r="K46" s="319"/>
      <c r="L46" s="319"/>
      <c r="M46" s="325"/>
      <c r="N46" s="501" t="s">
        <v>740</v>
      </c>
      <c r="O46" s="501"/>
      <c r="P46" s="501">
        <v>300</v>
      </c>
      <c r="Q46" s="502">
        <v>500000</v>
      </c>
      <c r="R46" s="502">
        <v>300000</v>
      </c>
      <c r="S46" s="319">
        <f t="shared" si="6"/>
        <v>800000</v>
      </c>
      <c r="T46" s="325"/>
      <c r="U46" s="319"/>
      <c r="V46" s="319"/>
      <c r="W46" s="435">
        <v>0.35</v>
      </c>
      <c r="X46" s="319"/>
      <c r="Y46" s="319">
        <f t="shared" si="2"/>
        <v>280000</v>
      </c>
      <c r="Z46" s="280">
        <f t="shared" si="5"/>
        <v>480000</v>
      </c>
      <c r="AA46" s="279">
        <f t="shared" si="3"/>
        <v>200000</v>
      </c>
      <c r="AB46" s="319"/>
    </row>
    <row r="47" spans="1:28" s="437" customFormat="1" ht="60" x14ac:dyDescent="0.25">
      <c r="A47" s="482">
        <v>44</v>
      </c>
      <c r="B47" s="319" t="s">
        <v>2986</v>
      </c>
      <c r="C47" s="431" t="s">
        <v>2990</v>
      </c>
      <c r="D47" s="483" t="s">
        <v>2991</v>
      </c>
      <c r="E47" s="431"/>
      <c r="F47" s="428"/>
      <c r="G47" s="428"/>
      <c r="H47" s="484" t="s">
        <v>2992</v>
      </c>
      <c r="I47" s="485"/>
      <c r="J47" s="500"/>
      <c r="K47" s="319"/>
      <c r="L47" s="319"/>
      <c r="M47" s="325"/>
      <c r="N47" s="325" t="s">
        <v>2993</v>
      </c>
      <c r="O47" s="325"/>
      <c r="P47" s="325">
        <v>1000</v>
      </c>
      <c r="Q47" s="319">
        <v>500000</v>
      </c>
      <c r="R47" s="319">
        <v>675000</v>
      </c>
      <c r="S47" s="319">
        <f t="shared" si="6"/>
        <v>1175000</v>
      </c>
      <c r="T47" s="325"/>
      <c r="U47" s="319"/>
      <c r="V47" s="319"/>
      <c r="W47" s="435">
        <v>0.35</v>
      </c>
      <c r="X47" s="319"/>
      <c r="Y47" s="319">
        <f t="shared" si="2"/>
        <v>411250</v>
      </c>
      <c r="Z47" s="280">
        <f t="shared" si="5"/>
        <v>705000</v>
      </c>
      <c r="AA47" s="279">
        <f t="shared" si="3"/>
        <v>293750</v>
      </c>
      <c r="AB47" s="319"/>
    </row>
    <row r="48" spans="1:28" s="309" customFormat="1" ht="60" x14ac:dyDescent="0.25">
      <c r="A48" s="322">
        <v>45</v>
      </c>
      <c r="B48" s="298" t="s">
        <v>2986</v>
      </c>
      <c r="C48" s="301" t="s">
        <v>3001</v>
      </c>
      <c r="D48" s="323" t="s">
        <v>3002</v>
      </c>
      <c r="E48" s="301"/>
      <c r="F48" s="302"/>
      <c r="G48" s="302"/>
      <c r="H48" s="324" t="s">
        <v>3003</v>
      </c>
      <c r="I48" s="55" t="s">
        <v>3004</v>
      </c>
      <c r="J48" s="56"/>
      <c r="K48" s="298"/>
      <c r="L48" s="298"/>
      <c r="M48" s="305"/>
      <c r="N48" s="305" t="s">
        <v>2993</v>
      </c>
      <c r="O48" s="305"/>
      <c r="P48" s="305">
        <v>1000</v>
      </c>
      <c r="Q48" s="298">
        <v>500000</v>
      </c>
      <c r="R48" s="298">
        <v>675000</v>
      </c>
      <c r="S48" s="298">
        <f t="shared" si="6"/>
        <v>1175000</v>
      </c>
      <c r="T48" s="305"/>
      <c r="U48" s="298"/>
      <c r="V48" s="298"/>
      <c r="W48" s="307">
        <v>0.35</v>
      </c>
      <c r="X48" s="298"/>
      <c r="Y48" s="298">
        <f t="shared" si="2"/>
        <v>411250</v>
      </c>
      <c r="Z48" s="219">
        <f t="shared" si="5"/>
        <v>705000</v>
      </c>
      <c r="AA48" s="99">
        <f t="shared" si="3"/>
        <v>293750</v>
      </c>
      <c r="AB48" s="298" t="s">
        <v>3460</v>
      </c>
    </row>
    <row r="49" spans="1:29" s="437" customFormat="1" ht="60" x14ac:dyDescent="0.25">
      <c r="A49" s="482">
        <v>46</v>
      </c>
      <c r="B49" s="319" t="s">
        <v>3013</v>
      </c>
      <c r="C49" s="431" t="s">
        <v>3044</v>
      </c>
      <c r="D49" s="483" t="s">
        <v>3043</v>
      </c>
      <c r="E49" s="431"/>
      <c r="F49" s="428" t="s">
        <v>105</v>
      </c>
      <c r="G49" s="428"/>
      <c r="H49" s="484" t="s">
        <v>3045</v>
      </c>
      <c r="I49" s="485"/>
      <c r="J49" s="500"/>
      <c r="K49" s="319"/>
      <c r="L49" s="319"/>
      <c r="M49" s="325"/>
      <c r="N49" s="325" t="s">
        <v>2160</v>
      </c>
      <c r="O49" s="325"/>
      <c r="P49" s="325">
        <v>500</v>
      </c>
      <c r="Q49" s="319">
        <v>500000</v>
      </c>
      <c r="R49" s="319">
        <v>425000</v>
      </c>
      <c r="S49" s="319">
        <f t="shared" si="6"/>
        <v>925000</v>
      </c>
      <c r="T49" s="325"/>
      <c r="U49" s="319"/>
      <c r="V49" s="319"/>
      <c r="W49" s="435">
        <v>0.35</v>
      </c>
      <c r="X49" s="319"/>
      <c r="Y49" s="319">
        <f t="shared" si="2"/>
        <v>323750</v>
      </c>
      <c r="Z49" s="280">
        <f t="shared" si="5"/>
        <v>555000</v>
      </c>
      <c r="AA49" s="279">
        <f t="shared" si="3"/>
        <v>231250</v>
      </c>
      <c r="AB49" s="319"/>
    </row>
    <row r="50" spans="1:29" s="327" customFormat="1" ht="60" x14ac:dyDescent="0.25">
      <c r="A50" s="529">
        <v>47</v>
      </c>
      <c r="B50" s="530">
        <v>43862</v>
      </c>
      <c r="C50" s="531" t="s">
        <v>3106</v>
      </c>
      <c r="D50" s="532" t="s">
        <v>3105</v>
      </c>
      <c r="E50" s="531"/>
      <c r="F50" s="530"/>
      <c r="G50" s="530"/>
      <c r="H50" s="533" t="s">
        <v>3107</v>
      </c>
      <c r="I50" s="534"/>
      <c r="J50" s="535"/>
      <c r="K50" s="357"/>
      <c r="L50" s="357"/>
      <c r="M50" s="528"/>
      <c r="N50" s="528" t="s">
        <v>740</v>
      </c>
      <c r="O50" s="528"/>
      <c r="P50" s="528">
        <v>300</v>
      </c>
      <c r="Q50" s="357">
        <v>500000</v>
      </c>
      <c r="R50" s="357">
        <v>300000</v>
      </c>
      <c r="S50" s="357">
        <f t="shared" si="6"/>
        <v>800000</v>
      </c>
      <c r="T50" s="528"/>
      <c r="U50" s="357"/>
      <c r="V50" s="357"/>
      <c r="W50" s="527">
        <v>0.35</v>
      </c>
      <c r="X50" s="357"/>
      <c r="Y50" s="357">
        <f t="shared" si="2"/>
        <v>280000</v>
      </c>
      <c r="Z50" s="280">
        <f t="shared" si="5"/>
        <v>480000</v>
      </c>
      <c r="AA50" s="280">
        <f t="shared" si="3"/>
        <v>200000</v>
      </c>
      <c r="AB50" s="357"/>
    </row>
    <row r="51" spans="1:29" s="437" customFormat="1" ht="75" x14ac:dyDescent="0.25">
      <c r="A51" s="482">
        <v>48</v>
      </c>
      <c r="B51" s="428">
        <v>43891</v>
      </c>
      <c r="C51" s="431" t="s">
        <v>3118</v>
      </c>
      <c r="D51" s="483" t="s">
        <v>3120</v>
      </c>
      <c r="E51" s="431"/>
      <c r="F51" s="428"/>
      <c r="G51" s="428"/>
      <c r="H51" s="484" t="s">
        <v>3119</v>
      </c>
      <c r="I51" s="485"/>
      <c r="J51" s="500"/>
      <c r="K51" s="319"/>
      <c r="L51" s="319"/>
      <c r="M51" s="325"/>
      <c r="N51" s="501" t="s">
        <v>740</v>
      </c>
      <c r="O51" s="501"/>
      <c r="P51" s="501">
        <v>300</v>
      </c>
      <c r="Q51" s="502">
        <v>500000</v>
      </c>
      <c r="R51" s="502">
        <v>300000</v>
      </c>
      <c r="S51" s="502">
        <f t="shared" si="6"/>
        <v>800000</v>
      </c>
      <c r="T51" s="325"/>
      <c r="U51" s="319"/>
      <c r="V51" s="319"/>
      <c r="W51" s="435">
        <v>0.35</v>
      </c>
      <c r="X51" s="319"/>
      <c r="Y51" s="319">
        <f t="shared" si="2"/>
        <v>280000</v>
      </c>
      <c r="Z51" s="280">
        <f t="shared" si="5"/>
        <v>480000</v>
      </c>
      <c r="AA51" s="279">
        <f t="shared" si="3"/>
        <v>200000</v>
      </c>
      <c r="AB51" s="319"/>
    </row>
    <row r="52" spans="1:29" s="437" customFormat="1" ht="60" x14ac:dyDescent="0.25">
      <c r="A52" s="482">
        <v>49</v>
      </c>
      <c r="B52" s="428">
        <v>44044</v>
      </c>
      <c r="C52" s="431" t="s">
        <v>3183</v>
      </c>
      <c r="D52" s="483" t="s">
        <v>3182</v>
      </c>
      <c r="E52" s="431"/>
      <c r="F52" s="428" t="s">
        <v>105</v>
      </c>
      <c r="G52" s="428"/>
      <c r="H52" s="484" t="s">
        <v>3184</v>
      </c>
      <c r="I52" s="485"/>
      <c r="J52" s="500"/>
      <c r="K52" s="319"/>
      <c r="L52" s="319"/>
      <c r="M52" s="325"/>
      <c r="N52" s="501" t="s">
        <v>740</v>
      </c>
      <c r="O52" s="501"/>
      <c r="P52" s="501">
        <v>300</v>
      </c>
      <c r="Q52" s="502">
        <v>500000</v>
      </c>
      <c r="R52" s="502">
        <v>300000</v>
      </c>
      <c r="S52" s="502">
        <f t="shared" si="6"/>
        <v>800000</v>
      </c>
      <c r="T52" s="325"/>
      <c r="U52" s="319"/>
      <c r="V52" s="319"/>
      <c r="W52" s="435">
        <v>0.35</v>
      </c>
      <c r="X52" s="319"/>
      <c r="Y52" s="319">
        <f t="shared" si="2"/>
        <v>280000</v>
      </c>
      <c r="Z52" s="280">
        <f t="shared" si="5"/>
        <v>480000</v>
      </c>
      <c r="AA52" s="279">
        <f t="shared" si="3"/>
        <v>200000</v>
      </c>
      <c r="AB52" s="319"/>
    </row>
    <row r="53" spans="1:29" s="437" customFormat="1" ht="60" x14ac:dyDescent="0.25">
      <c r="A53" s="482">
        <v>50</v>
      </c>
      <c r="B53" s="428">
        <v>44044</v>
      </c>
      <c r="C53" s="431" t="s">
        <v>3188</v>
      </c>
      <c r="D53" s="483" t="s">
        <v>3232</v>
      </c>
      <c r="E53" s="431"/>
      <c r="F53" s="428" t="s">
        <v>2545</v>
      </c>
      <c r="G53" s="428"/>
      <c r="H53" s="484" t="s">
        <v>3189</v>
      </c>
      <c r="I53" s="485"/>
      <c r="J53" s="500"/>
      <c r="K53" s="319"/>
      <c r="L53" s="319"/>
      <c r="M53" s="325"/>
      <c r="N53" s="501" t="s">
        <v>740</v>
      </c>
      <c r="O53" s="501"/>
      <c r="P53" s="501">
        <v>300</v>
      </c>
      <c r="Q53" s="502">
        <v>500000</v>
      </c>
      <c r="R53" s="502">
        <v>300000</v>
      </c>
      <c r="S53" s="502">
        <f t="shared" si="6"/>
        <v>800000</v>
      </c>
      <c r="T53" s="325"/>
      <c r="U53" s="319"/>
      <c r="V53" s="319"/>
      <c r="W53" s="435">
        <v>0.35</v>
      </c>
      <c r="X53" s="319"/>
      <c r="Y53" s="319">
        <f t="shared" si="2"/>
        <v>280000</v>
      </c>
      <c r="Z53" s="280">
        <f t="shared" si="5"/>
        <v>480000</v>
      </c>
      <c r="AA53" s="279">
        <f t="shared" si="3"/>
        <v>200000</v>
      </c>
      <c r="AB53" s="319"/>
    </row>
    <row r="54" spans="1:29" s="437" customFormat="1" ht="60" x14ac:dyDescent="0.25">
      <c r="A54" s="482">
        <v>51</v>
      </c>
      <c r="B54" s="428">
        <v>44044</v>
      </c>
      <c r="C54" s="431" t="s">
        <v>3190</v>
      </c>
      <c r="D54" s="319"/>
      <c r="E54" s="431"/>
      <c r="F54" s="428" t="s">
        <v>510</v>
      </c>
      <c r="G54" s="428"/>
      <c r="H54" s="484" t="s">
        <v>3191</v>
      </c>
      <c r="I54" s="485" t="s">
        <v>3192</v>
      </c>
      <c r="J54" s="500"/>
      <c r="K54" s="319"/>
      <c r="L54" s="319"/>
      <c r="M54" s="325"/>
      <c r="N54" s="501" t="s">
        <v>740</v>
      </c>
      <c r="O54" s="501"/>
      <c r="P54" s="501">
        <v>300</v>
      </c>
      <c r="Q54" s="502">
        <v>500000</v>
      </c>
      <c r="R54" s="502">
        <v>300000</v>
      </c>
      <c r="S54" s="502">
        <f t="shared" si="6"/>
        <v>800000</v>
      </c>
      <c r="T54" s="325"/>
      <c r="U54" s="319"/>
      <c r="V54" s="319"/>
      <c r="W54" s="435">
        <v>0.35</v>
      </c>
      <c r="X54" s="319"/>
      <c r="Y54" s="319">
        <f t="shared" si="2"/>
        <v>280000</v>
      </c>
      <c r="Z54" s="280">
        <f t="shared" si="5"/>
        <v>480000</v>
      </c>
      <c r="AA54" s="279">
        <f t="shared" si="3"/>
        <v>200000</v>
      </c>
      <c r="AB54" s="319"/>
    </row>
    <row r="55" spans="1:29" s="309" customFormat="1" ht="60" x14ac:dyDescent="0.25">
      <c r="A55" s="322">
        <v>52</v>
      </c>
      <c r="B55" s="298" t="s">
        <v>3225</v>
      </c>
      <c r="C55" s="301" t="s">
        <v>3222</v>
      </c>
      <c r="D55" s="298"/>
      <c r="E55" s="301"/>
      <c r="F55" s="302" t="s">
        <v>2400</v>
      </c>
      <c r="G55" s="302" t="s">
        <v>457</v>
      </c>
      <c r="H55" s="324" t="s">
        <v>3223</v>
      </c>
      <c r="I55" s="55" t="s">
        <v>3224</v>
      </c>
      <c r="J55" s="56"/>
      <c r="K55" s="298"/>
      <c r="L55" s="298"/>
      <c r="M55" s="305"/>
      <c r="N55" s="305" t="s">
        <v>2160</v>
      </c>
      <c r="O55" s="305"/>
      <c r="P55" s="305">
        <v>500</v>
      </c>
      <c r="Q55" s="298">
        <v>500000</v>
      </c>
      <c r="R55" s="298">
        <v>425000</v>
      </c>
      <c r="S55" s="298">
        <f t="shared" si="6"/>
        <v>925000</v>
      </c>
      <c r="T55" s="305"/>
      <c r="U55" s="298"/>
      <c r="V55" s="298"/>
      <c r="W55" s="307">
        <v>0.35</v>
      </c>
      <c r="X55" s="298"/>
      <c r="Y55" s="298">
        <f t="shared" si="2"/>
        <v>323750</v>
      </c>
      <c r="Z55" s="219">
        <f t="shared" si="5"/>
        <v>555000</v>
      </c>
      <c r="AA55" s="99">
        <f t="shared" si="3"/>
        <v>231250</v>
      </c>
      <c r="AB55" s="298" t="s">
        <v>1746</v>
      </c>
      <c r="AC55" s="309">
        <f>S55*5%</f>
        <v>46250</v>
      </c>
    </row>
    <row r="56" spans="1:29" ht="45" x14ac:dyDescent="0.25">
      <c r="A56" s="48">
        <v>53</v>
      </c>
      <c r="B56" s="45" t="s">
        <v>3225</v>
      </c>
      <c r="C56" s="3" t="s">
        <v>3226</v>
      </c>
      <c r="D56" s="560" t="s">
        <v>3248</v>
      </c>
      <c r="E56" s="3"/>
      <c r="F56" s="46" t="s">
        <v>3227</v>
      </c>
      <c r="G56" s="46"/>
      <c r="H56" s="259" t="s">
        <v>3228</v>
      </c>
      <c r="I56" s="572" t="s">
        <v>3229</v>
      </c>
      <c r="J56" s="566"/>
      <c r="K56" s="45"/>
      <c r="L56" s="45"/>
      <c r="M56" s="49"/>
      <c r="N56" s="49" t="s">
        <v>2160</v>
      </c>
      <c r="O56" s="49"/>
      <c r="P56" s="49">
        <v>500</v>
      </c>
      <c r="Q56" s="45">
        <v>500000</v>
      </c>
      <c r="R56" s="45">
        <v>425000</v>
      </c>
      <c r="S56" s="45">
        <f t="shared" si="6"/>
        <v>925000</v>
      </c>
      <c r="T56" s="49"/>
      <c r="U56" s="45"/>
      <c r="V56" s="45"/>
      <c r="W56" s="262">
        <v>0.35</v>
      </c>
      <c r="X56" s="45"/>
      <c r="Y56" s="45">
        <f t="shared" si="2"/>
        <v>323750</v>
      </c>
      <c r="Z56" s="216">
        <f t="shared" si="5"/>
        <v>555000</v>
      </c>
      <c r="AA56" s="81">
        <f t="shared" si="3"/>
        <v>231250</v>
      </c>
      <c r="AB56" s="45" t="s">
        <v>3319</v>
      </c>
    </row>
    <row r="57" spans="1:29" s="309" customFormat="1" ht="60" x14ac:dyDescent="0.25">
      <c r="A57" s="322">
        <v>54</v>
      </c>
      <c r="B57" s="298" t="s">
        <v>3275</v>
      </c>
      <c r="C57" s="301" t="s">
        <v>3294</v>
      </c>
      <c r="D57" s="323" t="s">
        <v>3295</v>
      </c>
      <c r="E57" s="301"/>
      <c r="F57" s="302" t="s">
        <v>2400</v>
      </c>
      <c r="G57" s="302" t="s">
        <v>457</v>
      </c>
      <c r="H57" s="324" t="s">
        <v>3296</v>
      </c>
      <c r="I57" s="55" t="s">
        <v>3297</v>
      </c>
      <c r="J57" s="56"/>
      <c r="K57" s="298"/>
      <c r="L57" s="298"/>
      <c r="M57" s="305"/>
      <c r="N57" s="341" t="s">
        <v>740</v>
      </c>
      <c r="O57" s="341"/>
      <c r="P57" s="341">
        <v>300</v>
      </c>
      <c r="Q57" s="342">
        <v>500000</v>
      </c>
      <c r="R57" s="342">
        <v>300000</v>
      </c>
      <c r="S57" s="342">
        <f t="shared" si="6"/>
        <v>800000</v>
      </c>
      <c r="T57" s="305"/>
      <c r="U57" s="298"/>
      <c r="V57" s="298"/>
      <c r="W57" s="307">
        <v>0.35</v>
      </c>
      <c r="X57" s="298"/>
      <c r="Y57" s="298">
        <f t="shared" si="2"/>
        <v>280000</v>
      </c>
      <c r="Z57" s="219">
        <f t="shared" si="5"/>
        <v>480000</v>
      </c>
      <c r="AA57" s="99">
        <f t="shared" si="3"/>
        <v>200000</v>
      </c>
      <c r="AB57" s="298" t="s">
        <v>3396</v>
      </c>
      <c r="AC57" s="309">
        <f>S57*5%</f>
        <v>40000</v>
      </c>
    </row>
    <row r="58" spans="1:29" ht="15.75" x14ac:dyDescent="0.25">
      <c r="A58" s="482">
        <v>55</v>
      </c>
      <c r="B58" s="45"/>
      <c r="C58" s="3"/>
      <c r="D58" s="45"/>
      <c r="E58" s="3"/>
      <c r="F58" s="46"/>
      <c r="G58" s="46"/>
      <c r="H58" s="259"/>
      <c r="I58" s="55"/>
      <c r="J58" s="56"/>
      <c r="K58" s="45"/>
      <c r="L58" s="45"/>
      <c r="M58" s="49"/>
      <c r="N58" s="49"/>
      <c r="O58" s="49"/>
      <c r="P58" s="49"/>
      <c r="Q58" s="45"/>
      <c r="R58" s="45"/>
      <c r="S58" s="45"/>
      <c r="T58" s="49"/>
      <c r="U58" s="45"/>
      <c r="V58" s="45"/>
      <c r="W58" s="435">
        <v>0.35</v>
      </c>
      <c r="X58" s="45"/>
      <c r="Y58" s="319">
        <f t="shared" si="2"/>
        <v>0</v>
      </c>
      <c r="Z58" s="280">
        <f t="shared" si="5"/>
        <v>0</v>
      </c>
      <c r="AA58" s="279">
        <f t="shared" si="3"/>
        <v>0</v>
      </c>
      <c r="AB58" s="45"/>
    </row>
    <row r="59" spans="1:29" ht="15.75" x14ac:dyDescent="0.25">
      <c r="A59" s="48">
        <v>56</v>
      </c>
      <c r="B59" s="45"/>
      <c r="C59" s="3"/>
      <c r="D59" s="45"/>
      <c r="E59" s="3"/>
      <c r="F59" s="46"/>
      <c r="G59" s="46"/>
      <c r="H59" s="259"/>
      <c r="I59" s="55"/>
      <c r="J59" s="56"/>
      <c r="K59" s="45"/>
      <c r="L59" s="45"/>
      <c r="M59" s="49"/>
      <c r="N59" s="49"/>
      <c r="O59" s="49"/>
      <c r="P59" s="49"/>
      <c r="Q59" s="45"/>
      <c r="R59" s="45"/>
      <c r="S59" s="45"/>
      <c r="T59" s="49"/>
      <c r="U59" s="45"/>
      <c r="V59" s="45"/>
      <c r="W59" s="435">
        <v>0.35</v>
      </c>
      <c r="X59" s="45"/>
      <c r="Y59" s="319">
        <f t="shared" si="2"/>
        <v>0</v>
      </c>
      <c r="Z59" s="280">
        <f t="shared" si="5"/>
        <v>0</v>
      </c>
      <c r="AA59" s="279">
        <f t="shared" si="3"/>
        <v>0</v>
      </c>
      <c r="AB59" s="45"/>
    </row>
    <row r="60" spans="1:29" ht="15.75" x14ac:dyDescent="0.25">
      <c r="A60" s="482">
        <v>57</v>
      </c>
      <c r="B60" s="45"/>
      <c r="C60" s="3"/>
      <c r="D60" s="45"/>
      <c r="E60" s="3"/>
      <c r="F60" s="46"/>
      <c r="G60" s="46"/>
      <c r="H60" s="259"/>
      <c r="I60" s="55"/>
      <c r="J60" s="56"/>
      <c r="K60" s="45"/>
      <c r="L60" s="45"/>
      <c r="M60" s="49"/>
      <c r="N60" s="49"/>
      <c r="O60" s="49"/>
      <c r="P60" s="49"/>
      <c r="Q60" s="45"/>
      <c r="R60" s="45"/>
      <c r="S60" s="45"/>
      <c r="T60" s="49"/>
      <c r="U60" s="45"/>
      <c r="V60" s="45"/>
      <c r="W60" s="435">
        <v>0.35</v>
      </c>
      <c r="X60" s="45"/>
      <c r="Y60" s="319">
        <f t="shared" si="2"/>
        <v>0</v>
      </c>
      <c r="Z60" s="280">
        <f t="shared" si="5"/>
        <v>0</v>
      </c>
      <c r="AA60" s="279">
        <f t="shared" si="3"/>
        <v>0</v>
      </c>
      <c r="AB60" s="45"/>
    </row>
    <row r="61" spans="1:29" ht="15.75" x14ac:dyDescent="0.25">
      <c r="A61" s="482">
        <v>58</v>
      </c>
      <c r="B61" s="45"/>
      <c r="C61" s="3"/>
      <c r="D61" s="45"/>
      <c r="E61" s="3"/>
      <c r="F61" s="46"/>
      <c r="G61" s="46"/>
      <c r="H61" s="259"/>
      <c r="I61" s="55"/>
      <c r="J61" s="56"/>
      <c r="K61" s="45"/>
      <c r="L61" s="45"/>
      <c r="M61" s="49"/>
      <c r="N61" s="49"/>
      <c r="O61" s="49"/>
      <c r="P61" s="49"/>
      <c r="Q61" s="45"/>
      <c r="R61" s="45"/>
      <c r="S61" s="45"/>
      <c r="T61" s="49"/>
      <c r="U61" s="45"/>
      <c r="V61" s="45"/>
      <c r="W61" s="435">
        <v>0.35</v>
      </c>
      <c r="X61" s="45"/>
      <c r="Y61" s="319">
        <f t="shared" si="2"/>
        <v>0</v>
      </c>
      <c r="Z61" s="280">
        <f t="shared" si="5"/>
        <v>0</v>
      </c>
      <c r="AA61" s="279">
        <f t="shared" si="3"/>
        <v>0</v>
      </c>
      <c r="AB61" s="45"/>
    </row>
    <row r="62" spans="1:29" ht="15.75" x14ac:dyDescent="0.25">
      <c r="A62" s="48">
        <v>59</v>
      </c>
      <c r="B62" s="45"/>
      <c r="C62" s="3"/>
      <c r="D62" s="45"/>
      <c r="E62" s="3"/>
      <c r="F62" s="46"/>
      <c r="G62" s="46"/>
      <c r="H62" s="259"/>
      <c r="I62" s="55"/>
      <c r="J62" s="56"/>
      <c r="K62" s="45"/>
      <c r="L62" s="45"/>
      <c r="M62" s="49"/>
      <c r="N62" s="49"/>
      <c r="O62" s="49"/>
      <c r="P62" s="49"/>
      <c r="Q62" s="45"/>
      <c r="R62" s="45"/>
      <c r="S62" s="45"/>
      <c r="T62" s="49"/>
      <c r="U62" s="45"/>
      <c r="V62" s="45"/>
      <c r="W62" s="435">
        <v>0.35</v>
      </c>
      <c r="X62" s="45"/>
      <c r="Y62" s="319">
        <f t="shared" si="2"/>
        <v>0</v>
      </c>
      <c r="Z62" s="280">
        <f t="shared" si="5"/>
        <v>0</v>
      </c>
      <c r="AA62" s="279">
        <f t="shared" si="3"/>
        <v>0</v>
      </c>
      <c r="AB62" s="45"/>
    </row>
    <row r="63" spans="1:29" ht="15.75" x14ac:dyDescent="0.25">
      <c r="A63" s="482">
        <v>60</v>
      </c>
      <c r="B63" s="45"/>
      <c r="C63" s="3"/>
      <c r="D63" s="45"/>
      <c r="E63" s="3"/>
      <c r="F63" s="46"/>
      <c r="G63" s="46"/>
      <c r="H63" s="259"/>
      <c r="I63" s="55"/>
      <c r="J63" s="56"/>
      <c r="K63" s="45"/>
      <c r="L63" s="45"/>
      <c r="M63" s="49"/>
      <c r="N63" s="49"/>
      <c r="O63" s="49"/>
      <c r="P63" s="49"/>
      <c r="Q63" s="45"/>
      <c r="R63" s="45"/>
      <c r="S63" s="45"/>
      <c r="T63" s="49"/>
      <c r="U63" s="45"/>
      <c r="V63" s="45"/>
      <c r="W63" s="435">
        <v>0.35</v>
      </c>
      <c r="X63" s="45"/>
      <c r="Y63" s="319">
        <f t="shared" si="2"/>
        <v>0</v>
      </c>
      <c r="Z63" s="280">
        <f t="shared" si="5"/>
        <v>0</v>
      </c>
      <c r="AA63" s="279">
        <f t="shared" si="3"/>
        <v>0</v>
      </c>
      <c r="AB63" s="45"/>
    </row>
    <row r="64" spans="1:29" ht="15.75" x14ac:dyDescent="0.25">
      <c r="A64" s="482">
        <v>61</v>
      </c>
      <c r="B64" s="45"/>
      <c r="C64" s="3"/>
      <c r="D64" s="45"/>
      <c r="E64" s="3"/>
      <c r="F64" s="46"/>
      <c r="G64" s="46"/>
      <c r="H64" s="259"/>
      <c r="I64" s="55"/>
      <c r="J64" s="56"/>
      <c r="K64" s="45"/>
      <c r="L64" s="45"/>
      <c r="M64" s="49"/>
      <c r="N64" s="49"/>
      <c r="O64" s="49"/>
      <c r="P64" s="49"/>
      <c r="Q64" s="45"/>
      <c r="R64" s="45"/>
      <c r="S64" s="45"/>
      <c r="T64" s="49"/>
      <c r="U64" s="45"/>
      <c r="V64" s="45"/>
      <c r="W64" s="435">
        <v>0.35</v>
      </c>
      <c r="X64" s="45"/>
      <c r="Y64" s="319">
        <f t="shared" si="2"/>
        <v>0</v>
      </c>
      <c r="Z64" s="280">
        <f t="shared" si="5"/>
        <v>0</v>
      </c>
      <c r="AA64" s="279">
        <f t="shared" si="3"/>
        <v>0</v>
      </c>
      <c r="AB64" s="45"/>
    </row>
    <row r="65" spans="1:1" x14ac:dyDescent="0.25">
      <c r="A65" s="48">
        <v>62</v>
      </c>
    </row>
    <row r="66" spans="1:1" x14ac:dyDescent="0.25">
      <c r="A66" s="482">
        <v>63</v>
      </c>
    </row>
    <row r="67" spans="1:1" x14ac:dyDescent="0.25">
      <c r="A67" s="482">
        <v>64</v>
      </c>
    </row>
    <row r="68" spans="1:1" x14ac:dyDescent="0.25">
      <c r="A68" s="48">
        <v>65</v>
      </c>
    </row>
    <row r="69" spans="1:1" x14ac:dyDescent="0.25">
      <c r="A69" s="482">
        <v>66</v>
      </c>
    </row>
    <row r="70" spans="1:1" x14ac:dyDescent="0.25">
      <c r="A70" s="482">
        <v>67</v>
      </c>
    </row>
    <row r="71" spans="1:1" x14ac:dyDescent="0.25">
      <c r="A71" s="48">
        <v>68</v>
      </c>
    </row>
    <row r="72" spans="1:1" x14ac:dyDescent="0.25">
      <c r="A72" s="482">
        <v>69</v>
      </c>
    </row>
    <row r="73" spans="1:1" x14ac:dyDescent="0.25">
      <c r="A73" s="482">
        <v>70</v>
      </c>
    </row>
    <row r="74" spans="1:1" x14ac:dyDescent="0.25">
      <c r="A74" s="48">
        <v>71</v>
      </c>
    </row>
    <row r="75" spans="1:1" x14ac:dyDescent="0.25">
      <c r="A75" s="482">
        <v>72</v>
      </c>
    </row>
    <row r="76" spans="1:1" x14ac:dyDescent="0.25">
      <c r="A76" s="482">
        <v>73</v>
      </c>
    </row>
    <row r="77" spans="1:1" x14ac:dyDescent="0.25">
      <c r="A77" s="48">
        <v>74</v>
      </c>
    </row>
    <row r="78" spans="1:1" x14ac:dyDescent="0.25">
      <c r="A78" s="482">
        <v>75</v>
      </c>
    </row>
    <row r="79" spans="1:1" x14ac:dyDescent="0.25">
      <c r="A79" s="482">
        <v>76</v>
      </c>
    </row>
    <row r="80" spans="1:1" x14ac:dyDescent="0.25">
      <c r="A80" s="48">
        <v>77</v>
      </c>
    </row>
    <row r="81" spans="1:16" x14ac:dyDescent="0.25">
      <c r="A81" s="482">
        <v>78</v>
      </c>
    </row>
    <row r="82" spans="1:16" x14ac:dyDescent="0.25">
      <c r="A82" s="482">
        <v>79</v>
      </c>
    </row>
    <row r="83" spans="1:16" x14ac:dyDescent="0.25">
      <c r="A83" s="48">
        <v>80</v>
      </c>
    </row>
    <row r="84" spans="1:16" x14ac:dyDescent="0.25">
      <c r="A84" s="482">
        <v>81</v>
      </c>
    </row>
    <row r="85" spans="1:16" x14ac:dyDescent="0.25">
      <c r="A85" s="482">
        <v>82</v>
      </c>
    </row>
    <row r="86" spans="1:16" x14ac:dyDescent="0.25">
      <c r="A86" s="48">
        <v>83</v>
      </c>
    </row>
    <row r="88" spans="1:16" ht="90" x14ac:dyDescent="0.25">
      <c r="A88" s="45">
        <v>3</v>
      </c>
      <c r="B88" s="45">
        <v>5701055292</v>
      </c>
      <c r="C88" s="3" t="s">
        <v>17</v>
      </c>
      <c r="D88" s="3" t="s">
        <v>13</v>
      </c>
      <c r="E88" s="3" t="s">
        <v>14</v>
      </c>
      <c r="F88" s="46">
        <v>43370</v>
      </c>
      <c r="G88" s="46"/>
      <c r="H88" s="3" t="s">
        <v>15</v>
      </c>
      <c r="I88" s="4" t="s">
        <v>16</v>
      </c>
      <c r="J88" s="47" t="s">
        <v>10</v>
      </c>
      <c r="K88" s="45" t="s">
        <v>11</v>
      </c>
      <c r="L88" s="45"/>
      <c r="M88" s="49" t="s">
        <v>12</v>
      </c>
      <c r="N88" s="49">
        <v>500000</v>
      </c>
      <c r="O88" s="49">
        <v>300000</v>
      </c>
      <c r="P88" s="49">
        <v>800000</v>
      </c>
    </row>
  </sheetData>
  <autoFilter ref="G1:G88"/>
  <mergeCells count="2">
    <mergeCell ref="B1:R1"/>
    <mergeCell ref="B2:R2"/>
  </mergeCells>
  <conditionalFormatting sqref="O3">
    <cfRule type="cellIs" dxfId="2" priority="1" stopIfTrue="1" operator="equal">
      <formula>"Gia hạn"</formula>
    </cfRule>
  </conditionalFormatting>
  <hyperlinks>
    <hyperlink ref="J5" r:id="rId1"/>
    <hyperlink ref="J6" r:id="rId2"/>
    <hyperlink ref="J7" r:id="rId3"/>
    <hyperlink ref="J8" r:id="rId4"/>
    <hyperlink ref="J17" r:id="rId5"/>
    <hyperlink ref="J18" r:id="rId6"/>
    <hyperlink ref="J19" r:id="rId7"/>
    <hyperlink ref="J20" r:id="rId8"/>
    <hyperlink ref="J21" r:id="rId9"/>
    <hyperlink ref="J22" r:id="rId10"/>
    <hyperlink ref="J23" r:id="rId11"/>
    <hyperlink ref="J28" r:id="rId12"/>
  </hyperlinks>
  <pageMargins left="0.7" right="0.7" top="0.75" bottom="0.75" header="0.3" footer="0.3"/>
  <pageSetup orientation="portrait" verticalDpi="300"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topLeftCell="C1" workbookViewId="0">
      <pane xSplit="5" ySplit="3" topLeftCell="H19" activePane="bottomRight" state="frozen"/>
      <selection activeCell="C1" sqref="C1"/>
      <selection pane="topRight" activeCell="F1" sqref="F1"/>
      <selection pane="bottomLeft" activeCell="C4" sqref="C4"/>
      <selection pane="bottomRight" activeCell="E23" sqref="E23"/>
    </sheetView>
  </sheetViews>
  <sheetFormatPr defaultRowHeight="15" x14ac:dyDescent="0.25"/>
  <cols>
    <col min="1" max="1" width="9.140625" style="181"/>
    <col min="2" max="2" width="13.5703125" style="206" customWidth="1"/>
    <col min="3" max="3" width="7.85546875" style="331" customWidth="1"/>
    <col min="4" max="4" width="13.5703125" style="206" customWidth="1"/>
    <col min="5" max="5" width="32" style="206" customWidth="1"/>
    <col min="6" max="6" width="12.42578125" style="206" bestFit="1" customWidth="1"/>
    <col min="7" max="7" width="0.140625" style="206" customWidth="1"/>
    <col min="8" max="8" width="9.140625" style="206"/>
    <col min="9" max="9" width="33" style="206" customWidth="1"/>
    <col min="10" max="17" width="9.140625" style="206"/>
    <col min="18" max="19" width="9.85546875" style="206" bestFit="1" customWidth="1"/>
    <col min="20" max="20" width="11.28515625" style="206" bestFit="1" customWidth="1"/>
    <col min="21" max="22" width="0" style="206" hidden="1" customWidth="1"/>
    <col min="23" max="23" width="12.42578125" style="355" customWidth="1"/>
    <col min="24" max="24" width="13" style="206" customWidth="1"/>
    <col min="25" max="25" width="9.85546875" style="206" bestFit="1" customWidth="1"/>
    <col min="26" max="26" width="14" style="206" customWidth="1"/>
    <col min="27" max="27" width="9.140625" style="181"/>
    <col min="28" max="28" width="11.42578125" style="181" bestFit="1" customWidth="1"/>
    <col min="29" max="29" width="10.140625" style="181" bestFit="1" customWidth="1"/>
  </cols>
  <sheetData>
    <row r="1" spans="1:30" ht="18.75" x14ac:dyDescent="0.25">
      <c r="A1" s="177"/>
      <c r="B1" s="819" t="s">
        <v>7</v>
      </c>
      <c r="C1" s="819"/>
      <c r="D1" s="819"/>
      <c r="E1" s="819"/>
      <c r="F1" s="819"/>
      <c r="G1" s="819"/>
      <c r="H1" s="819"/>
      <c r="I1" s="819"/>
      <c r="J1" s="819"/>
      <c r="K1" s="819"/>
      <c r="L1" s="819"/>
      <c r="M1" s="819"/>
      <c r="N1" s="819"/>
      <c r="O1" s="819"/>
      <c r="P1" s="819"/>
      <c r="Q1" s="819"/>
      <c r="R1" s="819"/>
      <c r="S1" s="819"/>
      <c r="T1" s="178"/>
      <c r="U1" s="179"/>
      <c r="V1" s="180"/>
      <c r="W1" s="351"/>
      <c r="X1" s="180"/>
      <c r="Y1" s="180"/>
      <c r="Z1" s="180"/>
    </row>
    <row r="2" spans="1:30" ht="18.75" x14ac:dyDescent="0.25">
      <c r="A2" s="177"/>
      <c r="B2" s="820" t="s">
        <v>8</v>
      </c>
      <c r="C2" s="820"/>
      <c r="D2" s="820"/>
      <c r="E2" s="820"/>
      <c r="F2" s="820"/>
      <c r="G2" s="820"/>
      <c r="H2" s="820"/>
      <c r="I2" s="820"/>
      <c r="J2" s="820"/>
      <c r="K2" s="820"/>
      <c r="L2" s="820"/>
      <c r="M2" s="820"/>
      <c r="N2" s="820"/>
      <c r="O2" s="820"/>
      <c r="P2" s="820"/>
      <c r="Q2" s="820"/>
      <c r="R2" s="820"/>
      <c r="S2" s="820"/>
      <c r="T2" s="182"/>
      <c r="U2" s="179"/>
      <c r="V2" s="180"/>
      <c r="W2" s="351"/>
      <c r="X2" s="180"/>
      <c r="Y2" s="180"/>
      <c r="Z2" s="180"/>
    </row>
    <row r="3" spans="1:30" ht="60.75" customHeight="1" x14ac:dyDescent="0.25">
      <c r="A3" s="183" t="s">
        <v>4</v>
      </c>
      <c r="B3" s="184" t="s">
        <v>124</v>
      </c>
      <c r="C3" s="329" t="s">
        <v>4</v>
      </c>
      <c r="D3" s="251" t="s">
        <v>646</v>
      </c>
      <c r="E3" s="185" t="s">
        <v>5</v>
      </c>
      <c r="F3" s="185" t="s">
        <v>53</v>
      </c>
      <c r="G3" s="185" t="s">
        <v>125</v>
      </c>
      <c r="H3" s="185" t="s">
        <v>126</v>
      </c>
      <c r="I3" s="186" t="s">
        <v>9</v>
      </c>
      <c r="J3" s="185" t="s">
        <v>127</v>
      </c>
      <c r="K3" s="185" t="s">
        <v>128</v>
      </c>
      <c r="L3" s="186" t="s">
        <v>129</v>
      </c>
      <c r="M3" s="186" t="s">
        <v>130</v>
      </c>
      <c r="N3" s="186" t="s">
        <v>131</v>
      </c>
      <c r="O3" s="187" t="s">
        <v>132</v>
      </c>
      <c r="P3" s="187" t="s">
        <v>133</v>
      </c>
      <c r="Q3" s="183" t="s">
        <v>134</v>
      </c>
      <c r="R3" s="188" t="s">
        <v>0</v>
      </c>
      <c r="S3" s="188" t="s">
        <v>6</v>
      </c>
      <c r="T3" s="188" t="s">
        <v>1</v>
      </c>
      <c r="U3" s="183" t="s">
        <v>2</v>
      </c>
      <c r="V3" s="183" t="s">
        <v>3</v>
      </c>
      <c r="W3" s="352" t="s">
        <v>25</v>
      </c>
      <c r="X3" s="192" t="s">
        <v>142</v>
      </c>
      <c r="Y3" s="192" t="s">
        <v>143</v>
      </c>
      <c r="Z3" s="192" t="s">
        <v>159</v>
      </c>
    </row>
    <row r="4" spans="1:30" ht="78.75" x14ac:dyDescent="0.25">
      <c r="A4" s="193">
        <v>1</v>
      </c>
      <c r="B4" s="252">
        <v>43416</v>
      </c>
      <c r="C4" s="330">
        <v>1</v>
      </c>
      <c r="D4" s="194"/>
      <c r="E4" s="195" t="s">
        <v>245</v>
      </c>
      <c r="F4" s="196">
        <v>108527507</v>
      </c>
      <c r="G4" s="196">
        <v>2700794425</v>
      </c>
      <c r="H4" s="195" t="s">
        <v>246</v>
      </c>
      <c r="I4" s="195" t="s">
        <v>247</v>
      </c>
      <c r="J4" s="197" t="s">
        <v>249</v>
      </c>
      <c r="K4" s="198"/>
      <c r="L4" s="195"/>
      <c r="M4" s="195"/>
      <c r="N4" s="195"/>
      <c r="O4" s="195" t="s">
        <v>248</v>
      </c>
      <c r="P4" s="195" t="s">
        <v>180</v>
      </c>
      <c r="Q4" s="199">
        <v>300</v>
      </c>
      <c r="R4" s="199">
        <v>500000</v>
      </c>
      <c r="S4" s="199">
        <v>300000</v>
      </c>
      <c r="T4" s="199">
        <v>800000</v>
      </c>
      <c r="U4" s="199"/>
      <c r="V4" s="199"/>
      <c r="W4" s="353">
        <f t="shared" ref="W4:W26" si="0">T4*0.4</f>
        <v>320000</v>
      </c>
      <c r="X4" s="199">
        <f t="shared" ref="X4:X26" si="1">T4*0.68</f>
        <v>544000</v>
      </c>
      <c r="Y4" s="199">
        <f t="shared" ref="Y4:Y26" si="2">X4-W4</f>
        <v>224000</v>
      </c>
      <c r="Z4" s="199" t="s">
        <v>368</v>
      </c>
      <c r="AA4" s="245"/>
    </row>
    <row r="5" spans="1:30" ht="78.75" x14ac:dyDescent="0.25">
      <c r="A5" s="193">
        <v>2</v>
      </c>
      <c r="B5" s="252" t="s">
        <v>279</v>
      </c>
      <c r="C5" s="330">
        <v>2</v>
      </c>
      <c r="D5" s="194"/>
      <c r="E5" s="195" t="s">
        <v>280</v>
      </c>
      <c r="F5" s="196">
        <v>107484480</v>
      </c>
      <c r="G5" s="196">
        <v>2700794425</v>
      </c>
      <c r="H5" s="195" t="s">
        <v>273</v>
      </c>
      <c r="I5" s="195" t="s">
        <v>281</v>
      </c>
      <c r="J5" s="197" t="s">
        <v>249</v>
      </c>
      <c r="K5" s="198"/>
      <c r="L5" s="195"/>
      <c r="M5" s="195"/>
      <c r="N5" s="195"/>
      <c r="O5" s="195" t="s">
        <v>282</v>
      </c>
      <c r="P5" s="195" t="s">
        <v>180</v>
      </c>
      <c r="Q5" s="199">
        <v>1000</v>
      </c>
      <c r="R5" s="199">
        <v>500000</v>
      </c>
      <c r="S5" s="199">
        <v>675000</v>
      </c>
      <c r="T5" s="199">
        <f>S5+R5</f>
        <v>1175000</v>
      </c>
      <c r="U5" s="199"/>
      <c r="V5" s="199"/>
      <c r="W5" s="353">
        <f t="shared" si="0"/>
        <v>470000</v>
      </c>
      <c r="X5" s="199">
        <f t="shared" si="1"/>
        <v>799000</v>
      </c>
      <c r="Y5" s="199">
        <f t="shared" si="2"/>
        <v>329000</v>
      </c>
      <c r="Z5" s="199" t="s">
        <v>222</v>
      </c>
    </row>
    <row r="6" spans="1:30" s="289" customFormat="1" ht="45" x14ac:dyDescent="0.25">
      <c r="A6" s="281">
        <v>3</v>
      </c>
      <c r="B6" s="282" t="s">
        <v>452</v>
      </c>
      <c r="C6" s="330">
        <v>3</v>
      </c>
      <c r="D6" s="283"/>
      <c r="E6" s="283" t="s">
        <v>446</v>
      </c>
      <c r="F6" s="284" t="s">
        <v>447</v>
      </c>
      <c r="G6" s="283"/>
      <c r="H6" s="283" t="s">
        <v>448</v>
      </c>
      <c r="I6" s="283" t="s">
        <v>449</v>
      </c>
      <c r="J6" s="283" t="s">
        <v>450</v>
      </c>
      <c r="K6" s="285" t="s">
        <v>451</v>
      </c>
      <c r="L6" s="283"/>
      <c r="M6" s="283"/>
      <c r="N6" s="283"/>
      <c r="O6" s="234" t="s">
        <v>248</v>
      </c>
      <c r="P6" s="234" t="s">
        <v>180</v>
      </c>
      <c r="Q6" s="286">
        <v>300</v>
      </c>
      <c r="R6" s="286">
        <v>500000</v>
      </c>
      <c r="S6" s="286">
        <v>300000</v>
      </c>
      <c r="T6" s="286">
        <v>800000</v>
      </c>
      <c r="U6" s="287"/>
      <c r="V6" s="287"/>
      <c r="W6" s="295">
        <f t="shared" si="0"/>
        <v>320000</v>
      </c>
      <c r="X6" s="286">
        <f t="shared" si="1"/>
        <v>544000</v>
      </c>
      <c r="Y6" s="286">
        <f t="shared" si="2"/>
        <v>224000</v>
      </c>
      <c r="Z6" s="286" t="s">
        <v>802</v>
      </c>
      <c r="AA6" s="288"/>
      <c r="AB6" s="288"/>
      <c r="AC6" s="288"/>
    </row>
    <row r="7" spans="1:30" s="296" customFormat="1" ht="45" x14ac:dyDescent="0.25">
      <c r="A7" s="290">
        <v>6</v>
      </c>
      <c r="B7" s="291" t="s">
        <v>595</v>
      </c>
      <c r="C7" s="330">
        <v>4</v>
      </c>
      <c r="D7" s="292">
        <v>43741</v>
      </c>
      <c r="E7" s="283" t="s">
        <v>603</v>
      </c>
      <c r="F7" s="293" t="s">
        <v>747</v>
      </c>
      <c r="G7" s="294"/>
      <c r="H7" s="294" t="s">
        <v>604</v>
      </c>
      <c r="I7" s="294" t="s">
        <v>605</v>
      </c>
      <c r="J7" s="294" t="s">
        <v>450</v>
      </c>
      <c r="K7" s="285" t="s">
        <v>451</v>
      </c>
      <c r="L7" s="283" t="s">
        <v>606</v>
      </c>
      <c r="M7" s="294" t="s">
        <v>174</v>
      </c>
      <c r="N7" s="294"/>
      <c r="O7" s="283" t="s">
        <v>282</v>
      </c>
      <c r="P7" s="294" t="s">
        <v>180</v>
      </c>
      <c r="Q7" s="294">
        <v>1000</v>
      </c>
      <c r="R7" s="294">
        <v>500000</v>
      </c>
      <c r="S7" s="294">
        <v>675000</v>
      </c>
      <c r="T7" s="294">
        <f>R7+S7</f>
        <v>1175000</v>
      </c>
      <c r="U7" s="294"/>
      <c r="V7" s="294"/>
      <c r="W7" s="295">
        <f t="shared" si="0"/>
        <v>470000</v>
      </c>
      <c r="X7" s="295">
        <f t="shared" si="1"/>
        <v>799000</v>
      </c>
      <c r="Y7" s="295">
        <f t="shared" si="2"/>
        <v>329000</v>
      </c>
      <c r="Z7" s="286" t="s">
        <v>802</v>
      </c>
      <c r="AA7" s="290"/>
      <c r="AB7" s="290"/>
      <c r="AC7" s="290"/>
    </row>
    <row r="8" spans="1:30" s="296" customFormat="1" ht="45" x14ac:dyDescent="0.25">
      <c r="A8" s="290"/>
      <c r="B8" s="291"/>
      <c r="C8" s="330">
        <v>5</v>
      </c>
      <c r="D8" s="294" t="s">
        <v>622</v>
      </c>
      <c r="E8" s="283" t="s">
        <v>636</v>
      </c>
      <c r="F8" s="293" t="s">
        <v>746</v>
      </c>
      <c r="G8" s="294"/>
      <c r="H8" s="294" t="s">
        <v>637</v>
      </c>
      <c r="I8" s="294" t="s">
        <v>638</v>
      </c>
      <c r="J8" s="294" t="s">
        <v>450</v>
      </c>
      <c r="K8" s="285" t="s">
        <v>451</v>
      </c>
      <c r="L8" s="283" t="s">
        <v>639</v>
      </c>
      <c r="M8" s="294" t="s">
        <v>174</v>
      </c>
      <c r="N8" s="294"/>
      <c r="O8" s="297" t="s">
        <v>248</v>
      </c>
      <c r="P8" s="294" t="s">
        <v>180</v>
      </c>
      <c r="Q8" s="294">
        <v>300</v>
      </c>
      <c r="R8" s="294">
        <v>500000</v>
      </c>
      <c r="S8" s="294">
        <v>300000</v>
      </c>
      <c r="T8" s="294">
        <f>R8+S8</f>
        <v>800000</v>
      </c>
      <c r="U8" s="294"/>
      <c r="V8" s="294"/>
      <c r="W8" s="295">
        <f t="shared" si="0"/>
        <v>320000</v>
      </c>
      <c r="X8" s="295">
        <f t="shared" si="1"/>
        <v>544000</v>
      </c>
      <c r="Y8" s="295">
        <f t="shared" si="2"/>
        <v>224000</v>
      </c>
      <c r="Z8" s="286" t="s">
        <v>802</v>
      </c>
      <c r="AA8" s="290"/>
      <c r="AB8" s="290"/>
      <c r="AC8" s="290"/>
    </row>
    <row r="9" spans="1:30" s="296" customFormat="1" ht="45" x14ac:dyDescent="0.25">
      <c r="A9" s="290"/>
      <c r="B9" s="291"/>
      <c r="C9" s="330">
        <v>6</v>
      </c>
      <c r="D9" s="292">
        <v>43712</v>
      </c>
      <c r="E9" s="294" t="s">
        <v>717</v>
      </c>
      <c r="F9" s="293" t="s">
        <v>745</v>
      </c>
      <c r="G9" s="294"/>
      <c r="H9" s="294" t="s">
        <v>168</v>
      </c>
      <c r="I9" s="294" t="s">
        <v>718</v>
      </c>
      <c r="J9" s="294" t="s">
        <v>450</v>
      </c>
      <c r="K9" s="285" t="s">
        <v>451</v>
      </c>
      <c r="L9" s="283" t="s">
        <v>719</v>
      </c>
      <c r="M9" s="294" t="s">
        <v>174</v>
      </c>
      <c r="N9" s="294"/>
      <c r="O9" s="283" t="s">
        <v>248</v>
      </c>
      <c r="P9" s="294" t="s">
        <v>180</v>
      </c>
      <c r="Q9" s="294">
        <v>300</v>
      </c>
      <c r="R9" s="294">
        <v>500000</v>
      </c>
      <c r="S9" s="294">
        <v>300000</v>
      </c>
      <c r="T9" s="294">
        <v>800000</v>
      </c>
      <c r="U9" s="294"/>
      <c r="V9" s="294"/>
      <c r="W9" s="295">
        <f t="shared" si="0"/>
        <v>320000</v>
      </c>
      <c r="X9" s="295">
        <f t="shared" si="1"/>
        <v>544000</v>
      </c>
      <c r="Y9" s="295">
        <f t="shared" si="2"/>
        <v>224000</v>
      </c>
      <c r="Z9" s="286" t="s">
        <v>802</v>
      </c>
      <c r="AA9" s="290"/>
      <c r="AB9" s="290"/>
      <c r="AC9" s="290"/>
    </row>
    <row r="10" spans="1:30" s="296" customFormat="1" ht="45" x14ac:dyDescent="0.25">
      <c r="A10" s="290"/>
      <c r="B10" s="291"/>
      <c r="C10" s="330">
        <v>7</v>
      </c>
      <c r="D10" s="292">
        <v>43803</v>
      </c>
      <c r="E10" s="294" t="s">
        <v>744</v>
      </c>
      <c r="F10" s="293" t="s">
        <v>748</v>
      </c>
      <c r="G10" s="294"/>
      <c r="H10" s="294" t="s">
        <v>749</v>
      </c>
      <c r="I10" s="294" t="s">
        <v>718</v>
      </c>
      <c r="J10" s="294" t="s">
        <v>450</v>
      </c>
      <c r="K10" s="285" t="s">
        <v>451</v>
      </c>
      <c r="L10" s="283" t="s">
        <v>719</v>
      </c>
      <c r="M10" s="294" t="s">
        <v>174</v>
      </c>
      <c r="N10" s="294"/>
      <c r="O10" s="294" t="s">
        <v>248</v>
      </c>
      <c r="P10" s="294" t="s">
        <v>180</v>
      </c>
      <c r="Q10" s="294">
        <v>300</v>
      </c>
      <c r="R10" s="294">
        <v>500000</v>
      </c>
      <c r="S10" s="294">
        <v>300000</v>
      </c>
      <c r="T10" s="294">
        <v>800000</v>
      </c>
      <c r="U10" s="294"/>
      <c r="V10" s="294"/>
      <c r="W10" s="295">
        <f t="shared" si="0"/>
        <v>320000</v>
      </c>
      <c r="X10" s="295">
        <f t="shared" si="1"/>
        <v>544000</v>
      </c>
      <c r="Y10" s="295">
        <f t="shared" si="2"/>
        <v>224000</v>
      </c>
      <c r="Z10" s="286" t="s">
        <v>802</v>
      </c>
      <c r="AA10" s="290"/>
      <c r="AB10" s="290"/>
      <c r="AC10" s="290"/>
    </row>
    <row r="11" spans="1:30" s="296" customFormat="1" ht="45" x14ac:dyDescent="0.25">
      <c r="A11" s="290"/>
      <c r="B11" s="291"/>
      <c r="C11" s="336">
        <v>8</v>
      </c>
      <c r="D11" s="294" t="s">
        <v>803</v>
      </c>
      <c r="E11" s="294" t="s">
        <v>811</v>
      </c>
      <c r="F11" s="293" t="s">
        <v>1944</v>
      </c>
      <c r="G11" s="294"/>
      <c r="H11" s="294" t="s">
        <v>813</v>
      </c>
      <c r="I11" s="294" t="s">
        <v>812</v>
      </c>
      <c r="J11" s="294" t="s">
        <v>450</v>
      </c>
      <c r="K11" s="285" t="s">
        <v>451</v>
      </c>
      <c r="L11" s="283" t="s">
        <v>814</v>
      </c>
      <c r="M11" s="294" t="s">
        <v>174</v>
      </c>
      <c r="N11" s="294"/>
      <c r="O11" s="294" t="s">
        <v>815</v>
      </c>
      <c r="P11" s="294" t="s">
        <v>180</v>
      </c>
      <c r="Q11" s="294">
        <v>1000</v>
      </c>
      <c r="R11" s="294">
        <v>500000</v>
      </c>
      <c r="S11" s="294">
        <v>675000</v>
      </c>
      <c r="T11" s="294">
        <v>1175000</v>
      </c>
      <c r="U11" s="294"/>
      <c r="V11" s="294"/>
      <c r="W11" s="354">
        <f t="shared" si="0"/>
        <v>470000</v>
      </c>
      <c r="X11" s="294">
        <f t="shared" si="1"/>
        <v>799000</v>
      </c>
      <c r="Y11" s="294">
        <f t="shared" si="2"/>
        <v>329000</v>
      </c>
      <c r="Z11" s="294" t="s">
        <v>1104</v>
      </c>
      <c r="AA11" s="290"/>
      <c r="AB11" s="290"/>
      <c r="AC11" s="290"/>
    </row>
    <row r="12" spans="1:30" s="23" customFormat="1" ht="63" x14ac:dyDescent="0.25">
      <c r="A12" s="19">
        <v>38</v>
      </c>
      <c r="B12" s="122">
        <v>43805</v>
      </c>
      <c r="C12" s="336">
        <v>9</v>
      </c>
      <c r="D12" s="337">
        <v>43805</v>
      </c>
      <c r="E12" s="250" t="s">
        <v>1043</v>
      </c>
      <c r="F12" s="29" t="s">
        <v>1044</v>
      </c>
      <c r="G12" s="10"/>
      <c r="H12" s="29" t="s">
        <v>448</v>
      </c>
      <c r="I12" s="157" t="s">
        <v>1045</v>
      </c>
      <c r="J12" s="10" t="s">
        <v>450</v>
      </c>
      <c r="K12" s="10" t="s">
        <v>1046</v>
      </c>
      <c r="L12" s="10" t="s">
        <v>1047</v>
      </c>
      <c r="M12" s="11" t="s">
        <v>174</v>
      </c>
      <c r="N12" s="157"/>
      <c r="O12" s="10" t="s">
        <v>1048</v>
      </c>
      <c r="P12" s="19" t="s">
        <v>153</v>
      </c>
      <c r="Q12" s="19">
        <v>300</v>
      </c>
      <c r="R12" s="13">
        <v>500000</v>
      </c>
      <c r="S12" s="19">
        <v>300000</v>
      </c>
      <c r="T12" s="305">
        <f>R12+S12</f>
        <v>800000</v>
      </c>
      <c r="U12" s="19"/>
      <c r="V12" s="19"/>
      <c r="W12" s="354">
        <f t="shared" si="0"/>
        <v>320000</v>
      </c>
      <c r="X12" s="294">
        <f t="shared" si="1"/>
        <v>544000</v>
      </c>
      <c r="Y12" s="294">
        <f t="shared" si="2"/>
        <v>224000</v>
      </c>
      <c r="Z12" s="10" t="s">
        <v>1105</v>
      </c>
      <c r="AA12" s="247"/>
      <c r="AB12" s="338"/>
      <c r="AC12" s="339"/>
      <c r="AD12" s="19"/>
    </row>
    <row r="13" spans="1:30" s="296" customFormat="1" ht="90" x14ac:dyDescent="0.25">
      <c r="A13" s="290"/>
      <c r="B13" s="291"/>
      <c r="C13" s="336">
        <v>10</v>
      </c>
      <c r="D13" s="294" t="s">
        <v>1165</v>
      </c>
      <c r="E13" s="294" t="s">
        <v>1171</v>
      </c>
      <c r="F13" s="293" t="s">
        <v>1172</v>
      </c>
      <c r="G13" s="294"/>
      <c r="H13" s="294" t="s">
        <v>168</v>
      </c>
      <c r="I13" s="294" t="s">
        <v>1173</v>
      </c>
      <c r="J13" s="294" t="s">
        <v>450</v>
      </c>
      <c r="K13" s="294" t="s">
        <v>451</v>
      </c>
      <c r="L13" s="294" t="s">
        <v>1174</v>
      </c>
      <c r="M13" s="294" t="s">
        <v>174</v>
      </c>
      <c r="N13" s="294" t="s">
        <v>1175</v>
      </c>
      <c r="O13" s="10" t="s">
        <v>1048</v>
      </c>
      <c r="P13" s="294" t="s">
        <v>153</v>
      </c>
      <c r="Q13" s="294">
        <v>300</v>
      </c>
      <c r="R13" s="294">
        <v>500000</v>
      </c>
      <c r="S13" s="294">
        <v>300000</v>
      </c>
      <c r="T13" s="294">
        <f>S13+R13</f>
        <v>800000</v>
      </c>
      <c r="U13" s="294"/>
      <c r="V13" s="294"/>
      <c r="W13" s="354">
        <f t="shared" si="0"/>
        <v>320000</v>
      </c>
      <c r="X13" s="294">
        <f t="shared" si="1"/>
        <v>544000</v>
      </c>
      <c r="Y13" s="294">
        <f t="shared" si="2"/>
        <v>224000</v>
      </c>
      <c r="Z13" s="294" t="s">
        <v>1454</v>
      </c>
      <c r="AA13" s="290" t="s">
        <v>864</v>
      </c>
      <c r="AB13" s="290"/>
      <c r="AC13" s="290"/>
    </row>
    <row r="14" spans="1:30" s="296" customFormat="1" ht="45" x14ac:dyDescent="0.25">
      <c r="A14" s="290"/>
      <c r="B14" s="291"/>
      <c r="C14" s="336">
        <v>11</v>
      </c>
      <c r="D14" s="292">
        <v>43473</v>
      </c>
      <c r="E14" s="354" t="s">
        <v>1405</v>
      </c>
      <c r="F14" s="293" t="s">
        <v>1404</v>
      </c>
      <c r="G14" s="294"/>
      <c r="H14" s="294" t="s">
        <v>1436</v>
      </c>
      <c r="I14" s="294" t="s">
        <v>1406</v>
      </c>
      <c r="J14" s="294" t="s">
        <v>450</v>
      </c>
      <c r="K14" s="294" t="s">
        <v>451</v>
      </c>
      <c r="L14" s="294"/>
      <c r="M14" s="294"/>
      <c r="N14" s="294"/>
      <c r="O14" s="10" t="s">
        <v>1048</v>
      </c>
      <c r="P14" s="294" t="s">
        <v>153</v>
      </c>
      <c r="Q14" s="294">
        <v>300</v>
      </c>
      <c r="R14" s="294">
        <v>500000</v>
      </c>
      <c r="S14" s="294">
        <v>300000</v>
      </c>
      <c r="T14" s="294">
        <f>S14+R14</f>
        <v>800000</v>
      </c>
      <c r="U14" s="294"/>
      <c r="V14" s="294"/>
      <c r="W14" s="354">
        <f t="shared" si="0"/>
        <v>320000</v>
      </c>
      <c r="X14" s="294">
        <f t="shared" si="1"/>
        <v>544000</v>
      </c>
      <c r="Y14" s="294">
        <f t="shared" si="2"/>
        <v>224000</v>
      </c>
      <c r="Z14" s="294" t="s">
        <v>1454</v>
      </c>
      <c r="AA14" s="290"/>
      <c r="AB14" s="290"/>
      <c r="AC14" s="290"/>
    </row>
    <row r="15" spans="1:30" s="296" customFormat="1" ht="60" x14ac:dyDescent="0.25">
      <c r="A15" s="290"/>
      <c r="B15" s="291"/>
      <c r="C15" s="377">
        <v>12</v>
      </c>
      <c r="D15" s="294" t="s">
        <v>1506</v>
      </c>
      <c r="E15" s="354" t="s">
        <v>1507</v>
      </c>
      <c r="F15" s="293" t="s">
        <v>1520</v>
      </c>
      <c r="G15" s="294"/>
      <c r="H15" s="294" t="s">
        <v>1436</v>
      </c>
      <c r="I15" s="294" t="s">
        <v>1508</v>
      </c>
      <c r="J15" s="294" t="s">
        <v>450</v>
      </c>
      <c r="K15" s="294" t="s">
        <v>451</v>
      </c>
      <c r="L15" s="294" t="s">
        <v>1509</v>
      </c>
      <c r="M15" s="294"/>
      <c r="N15" s="294"/>
      <c r="O15" s="10" t="s">
        <v>1048</v>
      </c>
      <c r="P15" s="294" t="s">
        <v>153</v>
      </c>
      <c r="Q15" s="294">
        <v>300</v>
      </c>
      <c r="R15" s="294">
        <v>500000</v>
      </c>
      <c r="S15" s="294">
        <v>300000</v>
      </c>
      <c r="T15" s="294">
        <f t="shared" ref="T15:T26" si="3">S15+R15</f>
        <v>800000</v>
      </c>
      <c r="U15" s="294"/>
      <c r="V15" s="294"/>
      <c r="W15" s="354">
        <f t="shared" si="0"/>
        <v>320000</v>
      </c>
      <c r="X15" s="294">
        <f t="shared" si="1"/>
        <v>544000</v>
      </c>
      <c r="Y15" s="294">
        <f t="shared" si="2"/>
        <v>224000</v>
      </c>
      <c r="Z15" s="294" t="s">
        <v>802</v>
      </c>
      <c r="AA15" s="290"/>
      <c r="AB15" s="290"/>
      <c r="AC15" s="290"/>
    </row>
    <row r="16" spans="1:30" s="296" customFormat="1" ht="45" x14ac:dyDescent="0.25">
      <c r="A16" s="290"/>
      <c r="B16" s="291"/>
      <c r="C16" s="377">
        <v>13</v>
      </c>
      <c r="D16" s="294" t="s">
        <v>1517</v>
      </c>
      <c r="E16" s="354" t="s">
        <v>1518</v>
      </c>
      <c r="F16" s="293" t="s">
        <v>1519</v>
      </c>
      <c r="G16" s="294"/>
      <c r="H16" s="294" t="s">
        <v>637</v>
      </c>
      <c r="I16" s="294" t="s">
        <v>1521</v>
      </c>
      <c r="J16" s="294" t="s">
        <v>450</v>
      </c>
      <c r="K16" s="294" t="s">
        <v>451</v>
      </c>
      <c r="L16" s="294" t="s">
        <v>1522</v>
      </c>
      <c r="M16" s="294"/>
      <c r="N16" s="294"/>
      <c r="O16" s="10" t="s">
        <v>1048</v>
      </c>
      <c r="P16" s="294" t="s">
        <v>153</v>
      </c>
      <c r="Q16" s="294">
        <v>300</v>
      </c>
      <c r="R16" s="378">
        <v>500000</v>
      </c>
      <c r="S16" s="294">
        <v>300000</v>
      </c>
      <c r="T16" s="294">
        <f t="shared" si="3"/>
        <v>800000</v>
      </c>
      <c r="U16" s="294"/>
      <c r="V16" s="294"/>
      <c r="W16" s="354">
        <f t="shared" si="0"/>
        <v>320000</v>
      </c>
      <c r="X16" s="294">
        <f t="shared" si="1"/>
        <v>544000</v>
      </c>
      <c r="Y16" s="294">
        <f t="shared" si="2"/>
        <v>224000</v>
      </c>
      <c r="Z16" s="294" t="s">
        <v>802</v>
      </c>
      <c r="AA16" s="290"/>
      <c r="AB16" s="290"/>
      <c r="AC16" s="290"/>
    </row>
    <row r="17" spans="1:29" s="296" customFormat="1" ht="45" x14ac:dyDescent="0.25">
      <c r="A17" s="290"/>
      <c r="B17" s="291"/>
      <c r="C17" s="377">
        <v>14</v>
      </c>
      <c r="D17" s="294" t="s">
        <v>1549</v>
      </c>
      <c r="E17" s="354" t="s">
        <v>1550</v>
      </c>
      <c r="F17" s="293" t="s">
        <v>1808</v>
      </c>
      <c r="G17" s="294"/>
      <c r="H17" s="294" t="s">
        <v>322</v>
      </c>
      <c r="I17" s="294" t="s">
        <v>1551</v>
      </c>
      <c r="J17" s="294" t="s">
        <v>450</v>
      </c>
      <c r="K17" s="294" t="s">
        <v>451</v>
      </c>
      <c r="L17" s="294" t="s">
        <v>1552</v>
      </c>
      <c r="M17" s="294"/>
      <c r="N17" s="294"/>
      <c r="O17" s="10" t="s">
        <v>299</v>
      </c>
      <c r="P17" s="294" t="s">
        <v>153</v>
      </c>
      <c r="Q17" s="294">
        <v>500</v>
      </c>
      <c r="R17" s="378">
        <v>500000</v>
      </c>
      <c r="S17" s="294">
        <v>425000</v>
      </c>
      <c r="T17" s="294">
        <f t="shared" si="3"/>
        <v>925000</v>
      </c>
      <c r="U17" s="294"/>
      <c r="V17" s="294"/>
      <c r="W17" s="354">
        <f t="shared" si="0"/>
        <v>370000</v>
      </c>
      <c r="X17" s="294">
        <f t="shared" si="1"/>
        <v>629000</v>
      </c>
      <c r="Y17" s="294">
        <f t="shared" si="2"/>
        <v>259000</v>
      </c>
      <c r="Z17" s="294" t="s">
        <v>802</v>
      </c>
      <c r="AA17" s="290"/>
      <c r="AB17" s="290"/>
      <c r="AC17" s="290"/>
    </row>
    <row r="18" spans="1:29" s="388" customFormat="1" ht="60" x14ac:dyDescent="0.25">
      <c r="A18" s="382"/>
      <c r="B18" s="383"/>
      <c r="C18" s="384">
        <v>15</v>
      </c>
      <c r="D18" s="385" t="s">
        <v>1706</v>
      </c>
      <c r="E18" s="385" t="s">
        <v>1707</v>
      </c>
      <c r="F18" s="404" t="s">
        <v>1807</v>
      </c>
      <c r="G18" s="385"/>
      <c r="H18" s="385" t="s">
        <v>1709</v>
      </c>
      <c r="I18" s="385" t="s">
        <v>1708</v>
      </c>
      <c r="J18" s="385" t="s">
        <v>450</v>
      </c>
      <c r="K18" s="385" t="s">
        <v>451</v>
      </c>
      <c r="L18" s="385" t="s">
        <v>1710</v>
      </c>
      <c r="M18" s="385"/>
      <c r="N18" s="385"/>
      <c r="O18" s="269" t="s">
        <v>1048</v>
      </c>
      <c r="P18" s="385" t="s">
        <v>153</v>
      </c>
      <c r="Q18" s="385">
        <v>300</v>
      </c>
      <c r="R18" s="386">
        <v>500000</v>
      </c>
      <c r="S18" s="385">
        <v>300000</v>
      </c>
      <c r="T18" s="385">
        <f t="shared" si="3"/>
        <v>800000</v>
      </c>
      <c r="U18" s="385"/>
      <c r="V18" s="385"/>
      <c r="W18" s="387">
        <f t="shared" si="0"/>
        <v>320000</v>
      </c>
      <c r="X18" s="385">
        <f t="shared" si="1"/>
        <v>544000</v>
      </c>
      <c r="Y18" s="385">
        <f t="shared" si="2"/>
        <v>224000</v>
      </c>
      <c r="Z18" s="385"/>
      <c r="AA18" s="382"/>
      <c r="AB18" s="382"/>
      <c r="AC18" s="382"/>
    </row>
    <row r="19" spans="1:29" s="296" customFormat="1" ht="41.25" customHeight="1" x14ac:dyDescent="0.25">
      <c r="A19" s="290"/>
      <c r="B19" s="291"/>
      <c r="C19" s="377">
        <v>16</v>
      </c>
      <c r="D19" s="294" t="s">
        <v>1776</v>
      </c>
      <c r="E19" s="294" t="s">
        <v>1796</v>
      </c>
      <c r="F19" s="293" t="s">
        <v>1806</v>
      </c>
      <c r="G19" s="294"/>
      <c r="H19" s="294" t="s">
        <v>246</v>
      </c>
      <c r="I19" s="294" t="s">
        <v>1797</v>
      </c>
      <c r="J19" s="294" t="s">
        <v>450</v>
      </c>
      <c r="K19" s="294" t="s">
        <v>451</v>
      </c>
      <c r="L19" s="294" t="s">
        <v>1798</v>
      </c>
      <c r="M19" s="294"/>
      <c r="N19" s="294" t="s">
        <v>1922</v>
      </c>
      <c r="O19" s="10" t="s">
        <v>1048</v>
      </c>
      <c r="P19" s="294" t="s">
        <v>153</v>
      </c>
      <c r="Q19" s="294">
        <v>300</v>
      </c>
      <c r="R19" s="378">
        <v>500000</v>
      </c>
      <c r="S19" s="294">
        <v>300000</v>
      </c>
      <c r="T19" s="294">
        <f t="shared" si="3"/>
        <v>800000</v>
      </c>
      <c r="U19" s="294"/>
      <c r="V19" s="294"/>
      <c r="W19" s="354">
        <f t="shared" si="0"/>
        <v>320000</v>
      </c>
      <c r="X19" s="294">
        <f t="shared" si="1"/>
        <v>544000</v>
      </c>
      <c r="Y19" s="294">
        <f t="shared" si="2"/>
        <v>224000</v>
      </c>
      <c r="Z19" s="294" t="s">
        <v>802</v>
      </c>
      <c r="AA19" s="290"/>
      <c r="AB19" s="290"/>
      <c r="AC19" s="290"/>
    </row>
    <row r="20" spans="1:29" s="296" customFormat="1" ht="39" customHeight="1" x14ac:dyDescent="0.25">
      <c r="A20" s="290"/>
      <c r="B20" s="291"/>
      <c r="C20" s="377">
        <v>17</v>
      </c>
      <c r="D20" s="294" t="s">
        <v>1776</v>
      </c>
      <c r="E20" s="294" t="s">
        <v>1799</v>
      </c>
      <c r="F20" s="293" t="s">
        <v>1805</v>
      </c>
      <c r="G20" s="294"/>
      <c r="H20" s="294" t="s">
        <v>1800</v>
      </c>
      <c r="I20" s="294" t="s">
        <v>1801</v>
      </c>
      <c r="J20" s="294" t="s">
        <v>450</v>
      </c>
      <c r="K20" s="294" t="s">
        <v>451</v>
      </c>
      <c r="L20" s="294" t="s">
        <v>1802</v>
      </c>
      <c r="M20" s="294"/>
      <c r="N20" s="294" t="s">
        <v>1922</v>
      </c>
      <c r="O20" s="10" t="s">
        <v>1048</v>
      </c>
      <c r="P20" s="294" t="s">
        <v>153</v>
      </c>
      <c r="Q20" s="294">
        <v>300</v>
      </c>
      <c r="R20" s="378">
        <v>500000</v>
      </c>
      <c r="S20" s="294">
        <v>300000</v>
      </c>
      <c r="T20" s="294">
        <f t="shared" si="3"/>
        <v>800000</v>
      </c>
      <c r="U20" s="294"/>
      <c r="V20" s="294"/>
      <c r="W20" s="354">
        <f t="shared" si="0"/>
        <v>320000</v>
      </c>
      <c r="X20" s="294">
        <f t="shared" si="1"/>
        <v>544000</v>
      </c>
      <c r="Y20" s="294">
        <f t="shared" si="2"/>
        <v>224000</v>
      </c>
      <c r="Z20" s="294" t="s">
        <v>802</v>
      </c>
      <c r="AA20" s="290"/>
      <c r="AB20" s="290"/>
      <c r="AC20" s="290"/>
    </row>
    <row r="21" spans="1:29" s="388" customFormat="1" ht="45" x14ac:dyDescent="0.25">
      <c r="A21" s="382"/>
      <c r="B21" s="383"/>
      <c r="C21" s="384">
        <v>18</v>
      </c>
      <c r="D21" s="385" t="s">
        <v>1776</v>
      </c>
      <c r="E21" s="385" t="s">
        <v>1803</v>
      </c>
      <c r="F21" s="404" t="s">
        <v>1804</v>
      </c>
      <c r="G21" s="385"/>
      <c r="H21" s="385" t="s">
        <v>1809</v>
      </c>
      <c r="I21" s="385" t="s">
        <v>1810</v>
      </c>
      <c r="J21" s="385" t="s">
        <v>450</v>
      </c>
      <c r="K21" s="411" t="s">
        <v>451</v>
      </c>
      <c r="L21" s="385" t="s">
        <v>1811</v>
      </c>
      <c r="M21" s="385"/>
      <c r="N21" s="385"/>
      <c r="O21" s="269" t="s">
        <v>1048</v>
      </c>
      <c r="P21" s="385" t="s">
        <v>153</v>
      </c>
      <c r="Q21" s="385">
        <v>300</v>
      </c>
      <c r="R21" s="386">
        <v>500000</v>
      </c>
      <c r="S21" s="385">
        <v>300000</v>
      </c>
      <c r="T21" s="385">
        <f t="shared" si="3"/>
        <v>800000</v>
      </c>
      <c r="U21" s="385"/>
      <c r="V21" s="385"/>
      <c r="W21" s="387">
        <f t="shared" si="0"/>
        <v>320000</v>
      </c>
      <c r="X21" s="385">
        <f t="shared" si="1"/>
        <v>544000</v>
      </c>
      <c r="Y21" s="385">
        <f t="shared" si="2"/>
        <v>224000</v>
      </c>
      <c r="Z21" s="385"/>
      <c r="AA21" s="382"/>
      <c r="AB21" s="382"/>
      <c r="AC21" s="382"/>
    </row>
    <row r="22" spans="1:29" s="296" customFormat="1" ht="34.5" customHeight="1" x14ac:dyDescent="0.25">
      <c r="A22" s="290"/>
      <c r="B22" s="291"/>
      <c r="C22" s="377">
        <v>19</v>
      </c>
      <c r="D22" s="292">
        <v>43718</v>
      </c>
      <c r="E22" s="294" t="s">
        <v>1912</v>
      </c>
      <c r="F22" s="293" t="s">
        <v>1943</v>
      </c>
      <c r="G22" s="294"/>
      <c r="H22" s="294" t="s">
        <v>1436</v>
      </c>
      <c r="I22" s="294" t="s">
        <v>1913</v>
      </c>
      <c r="J22" s="294" t="s">
        <v>450</v>
      </c>
      <c r="K22" s="294" t="s">
        <v>451</v>
      </c>
      <c r="L22" s="294" t="s">
        <v>1914</v>
      </c>
      <c r="M22" s="294"/>
      <c r="N22" s="294" t="s">
        <v>1921</v>
      </c>
      <c r="O22" s="10" t="s">
        <v>1048</v>
      </c>
      <c r="P22" s="294" t="s">
        <v>153</v>
      </c>
      <c r="Q22" s="294">
        <v>300</v>
      </c>
      <c r="R22" s="378">
        <v>500000</v>
      </c>
      <c r="S22" s="294">
        <v>300000</v>
      </c>
      <c r="T22" s="294">
        <f t="shared" si="3"/>
        <v>800000</v>
      </c>
      <c r="U22" s="294"/>
      <c r="V22" s="294"/>
      <c r="W22" s="354">
        <f t="shared" si="0"/>
        <v>320000</v>
      </c>
      <c r="X22" s="294">
        <f t="shared" si="1"/>
        <v>544000</v>
      </c>
      <c r="Y22" s="294">
        <f t="shared" si="2"/>
        <v>224000</v>
      </c>
      <c r="Z22" s="294" t="s">
        <v>1244</v>
      </c>
      <c r="AA22" s="290"/>
      <c r="AB22" s="290"/>
      <c r="AC22" s="290"/>
    </row>
    <row r="23" spans="1:29" s="296" customFormat="1" ht="57.75" customHeight="1" x14ac:dyDescent="0.25">
      <c r="A23" s="290"/>
      <c r="B23" s="291"/>
      <c r="C23" s="377">
        <v>20</v>
      </c>
      <c r="D23" s="292">
        <v>43779</v>
      </c>
      <c r="E23" s="294" t="s">
        <v>1924</v>
      </c>
      <c r="F23" s="293" t="s">
        <v>1925</v>
      </c>
      <c r="G23" s="294"/>
      <c r="H23" s="294" t="s">
        <v>1926</v>
      </c>
      <c r="I23" s="294" t="s">
        <v>1927</v>
      </c>
      <c r="J23" s="294" t="s">
        <v>450</v>
      </c>
      <c r="K23" s="294" t="s">
        <v>451</v>
      </c>
      <c r="L23" s="294" t="s">
        <v>1928</v>
      </c>
      <c r="M23" s="294"/>
      <c r="N23" s="294"/>
      <c r="O23" s="10" t="s">
        <v>1048</v>
      </c>
      <c r="P23" s="294" t="s">
        <v>153</v>
      </c>
      <c r="Q23" s="294">
        <v>300</v>
      </c>
      <c r="R23" s="378">
        <v>500000</v>
      </c>
      <c r="S23" s="294">
        <v>300000</v>
      </c>
      <c r="T23" s="294">
        <f t="shared" si="3"/>
        <v>800000</v>
      </c>
      <c r="U23" s="294"/>
      <c r="V23" s="294"/>
      <c r="W23" s="354">
        <f t="shared" si="0"/>
        <v>320000</v>
      </c>
      <c r="X23" s="294">
        <f t="shared" si="1"/>
        <v>544000</v>
      </c>
      <c r="Y23" s="294">
        <f t="shared" si="2"/>
        <v>224000</v>
      </c>
      <c r="Z23" s="294" t="s">
        <v>1244</v>
      </c>
      <c r="AA23" s="290"/>
      <c r="AB23" s="290"/>
      <c r="AC23" s="290"/>
    </row>
    <row r="24" spans="1:29" s="296" customFormat="1" ht="90" x14ac:dyDescent="0.25">
      <c r="A24" s="290"/>
      <c r="B24" s="291"/>
      <c r="C24" s="377">
        <v>21</v>
      </c>
      <c r="D24" s="292" t="s">
        <v>2041</v>
      </c>
      <c r="E24" s="294" t="s">
        <v>2042</v>
      </c>
      <c r="F24" s="294">
        <v>2301103718</v>
      </c>
      <c r="G24" s="294"/>
      <c r="H24" s="294" t="s">
        <v>2043</v>
      </c>
      <c r="I24" s="294" t="s">
        <v>2044</v>
      </c>
      <c r="J24" s="294" t="s">
        <v>450</v>
      </c>
      <c r="K24" s="294" t="s">
        <v>451</v>
      </c>
      <c r="L24" s="407" t="s">
        <v>2045</v>
      </c>
      <c r="M24" s="294"/>
      <c r="N24" s="407" t="s">
        <v>2046</v>
      </c>
      <c r="O24" s="10" t="s">
        <v>1048</v>
      </c>
      <c r="P24" s="294" t="s">
        <v>153</v>
      </c>
      <c r="Q24" s="294">
        <v>300</v>
      </c>
      <c r="R24" s="378">
        <v>500000</v>
      </c>
      <c r="S24" s="294">
        <v>300000</v>
      </c>
      <c r="T24" s="294">
        <f t="shared" si="3"/>
        <v>800000</v>
      </c>
      <c r="U24" s="294"/>
      <c r="V24" s="294"/>
      <c r="W24" s="354">
        <f t="shared" si="0"/>
        <v>320000</v>
      </c>
      <c r="X24" s="294">
        <f t="shared" si="1"/>
        <v>544000</v>
      </c>
      <c r="Y24" s="294">
        <f t="shared" si="2"/>
        <v>224000</v>
      </c>
      <c r="Z24" s="294" t="s">
        <v>1244</v>
      </c>
      <c r="AA24" s="290"/>
      <c r="AB24" s="290"/>
      <c r="AC24" s="290"/>
    </row>
    <row r="25" spans="1:29" s="388" customFormat="1" ht="15.75" x14ac:dyDescent="0.25">
      <c r="A25" s="382"/>
      <c r="B25" s="383"/>
      <c r="C25" s="384"/>
      <c r="D25" s="410"/>
      <c r="E25" s="385"/>
      <c r="F25" s="385"/>
      <c r="G25" s="385"/>
      <c r="H25" s="385"/>
      <c r="I25" s="385"/>
      <c r="J25" s="385"/>
      <c r="K25" s="385"/>
      <c r="L25" s="385"/>
      <c r="M25" s="385"/>
      <c r="N25" s="294"/>
      <c r="O25" s="269"/>
      <c r="P25" s="385"/>
      <c r="Q25" s="385"/>
      <c r="R25" s="386"/>
      <c r="S25" s="385"/>
      <c r="T25" s="385">
        <f t="shared" si="3"/>
        <v>0</v>
      </c>
      <c r="U25" s="385"/>
      <c r="V25" s="385"/>
      <c r="W25" s="387">
        <f t="shared" si="0"/>
        <v>0</v>
      </c>
      <c r="X25" s="385">
        <f t="shared" si="1"/>
        <v>0</v>
      </c>
      <c r="Y25" s="385">
        <f t="shared" si="2"/>
        <v>0</v>
      </c>
      <c r="Z25" s="385"/>
      <c r="AA25" s="382"/>
      <c r="AB25" s="382"/>
      <c r="AC25" s="382"/>
    </row>
    <row r="26" spans="1:29" x14ac:dyDescent="0.25">
      <c r="C26" s="370"/>
      <c r="D26" s="371"/>
      <c r="E26" s="371"/>
      <c r="F26" s="371"/>
      <c r="G26" s="371"/>
      <c r="H26" s="371"/>
      <c r="I26" s="371"/>
      <c r="J26" s="371"/>
      <c r="K26" s="371"/>
      <c r="L26" s="371"/>
      <c r="M26" s="371"/>
      <c r="N26" s="371"/>
      <c r="O26" s="371"/>
      <c r="P26" s="371"/>
      <c r="Q26" s="371"/>
      <c r="R26" s="371"/>
      <c r="S26" s="371"/>
      <c r="T26" s="385">
        <f t="shared" si="3"/>
        <v>0</v>
      </c>
      <c r="U26" s="371"/>
      <c r="V26" s="371"/>
      <c r="W26" s="387">
        <f t="shared" si="0"/>
        <v>0</v>
      </c>
      <c r="X26" s="385">
        <f t="shared" si="1"/>
        <v>0</v>
      </c>
      <c r="Y26" s="385">
        <f t="shared" si="2"/>
        <v>0</v>
      </c>
      <c r="Z26" s="371"/>
    </row>
  </sheetData>
  <mergeCells count="2">
    <mergeCell ref="B1:S1"/>
    <mergeCell ref="B2:S2"/>
  </mergeCells>
  <conditionalFormatting sqref="P3">
    <cfRule type="cellIs" dxfId="1" priority="1" stopIfTrue="1" operator="equal">
      <formula>"Gia hạn"</formula>
    </cfRule>
  </conditionalFormatting>
  <dataValidations count="1">
    <dataValidation type="list" allowBlank="1" showInputMessage="1" showErrorMessage="1" promptTitle="nhà cung cấp,Uyên Việt,tự xuất" sqref="N12 WVW12 WMA12 WCE12 VSI12 VIM12 UYQ12 UOU12 UEY12 TVC12 TLG12 TBK12 SRO12 SHS12 RXW12 ROA12 REE12 QUI12 QKM12 QAQ12 PQU12 PGY12 OXC12 ONG12 ODK12 NTO12 NJS12 MZW12 MQA12 MGE12 LWI12 LMM12 LCQ12 KSU12 KIY12 JZC12 JPG12 JFK12 IVO12 ILS12 IBW12 HSA12 HIE12 GYI12 GOM12 GEQ12 FUU12 FKY12 FBC12 ERG12 EHK12 DXO12 DNS12 DDW12 CUA12 CKE12 CAI12 BQM12 BGQ12 AWU12 AMY12 ADC12 TG12 JK12">
      <formula1>"Nhà cung cấp xuất hộ,Uyên Việt xuất hộ,tự xuất"</formula1>
    </dataValidation>
  </dataValidations>
  <hyperlinks>
    <hyperlink ref="K6" r:id="rId1"/>
    <hyperlink ref="K7" r:id="rId2"/>
    <hyperlink ref="K8" r:id="rId3"/>
    <hyperlink ref="K9" r:id="rId4"/>
    <hyperlink ref="K10" r:id="rId5"/>
    <hyperlink ref="K11" r:id="rId6"/>
    <hyperlink ref="K21" r:id="rId7"/>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32"/>
  <sheetViews>
    <sheetView workbookViewId="0">
      <pane xSplit="3" ySplit="3" topLeftCell="E370" activePane="bottomRight" state="frozen"/>
      <selection pane="topRight" activeCell="D1" sqref="D1"/>
      <selection pane="bottomLeft" activeCell="A4" sqref="A4"/>
      <selection pane="bottomRight" activeCell="F375" sqref="F375"/>
    </sheetView>
  </sheetViews>
  <sheetFormatPr defaultColWidth="9" defaultRowHeight="15.75" x14ac:dyDescent="0.25"/>
  <cols>
    <col min="1" max="1" width="9.140625" style="23" bestFit="1" customWidth="1"/>
    <col min="2" max="2" width="15.28515625" style="23" customWidth="1"/>
    <col min="3" max="3" width="37.85546875" style="163" customWidth="1"/>
    <col min="4" max="4" width="14.42578125" style="163" customWidth="1"/>
    <col min="5" max="5" width="11.5703125" style="163" customWidth="1"/>
    <col min="6" max="6" width="15.28515625" style="27" customWidth="1"/>
    <col min="7" max="7" width="24" style="7" hidden="1" customWidth="1"/>
    <col min="8" max="8" width="25" style="27" customWidth="1"/>
    <col min="9" max="9" width="31.5703125" style="163" customWidth="1"/>
    <col min="10" max="10" width="14.5703125" style="7" customWidth="1"/>
    <col min="11" max="11" width="19.28515625" style="7" customWidth="1"/>
    <col min="12" max="12" width="12.7109375" style="23" customWidth="1"/>
    <col min="13" max="13" width="25.7109375" style="28" hidden="1" customWidth="1"/>
    <col min="14" max="14" width="26.7109375" style="402" customWidth="1"/>
    <col min="15" max="15" width="18.42578125" style="23" customWidth="1"/>
    <col min="16" max="16" width="12.42578125" style="23" customWidth="1"/>
    <col min="17" max="17" width="19.28515625" style="23" customWidth="1"/>
    <col min="18" max="18" width="14.5703125" style="28" customWidth="1"/>
    <col min="19" max="19" width="15" style="23" customWidth="1"/>
    <col min="20" max="20" width="17.28515625" style="23" customWidth="1"/>
    <col min="21" max="21" width="13.85546875" style="23" hidden="1" customWidth="1"/>
    <col min="22" max="22" width="12.7109375" style="23" hidden="1" customWidth="1"/>
    <col min="23" max="23" width="11" style="23" hidden="1" customWidth="1"/>
    <col min="24" max="24" width="15.42578125" style="23" hidden="1" customWidth="1"/>
    <col min="25" max="25" width="9" style="23"/>
    <col min="26" max="26" width="18.140625" style="610" customWidth="1"/>
    <col min="27" max="27" width="11.28515625" style="23" customWidth="1"/>
    <col min="28" max="28" width="16.5703125" style="610" customWidth="1"/>
    <col min="29" max="29" width="13.140625" style="610" customWidth="1"/>
    <col min="30" max="30" width="29.7109375" style="23" customWidth="1"/>
    <col min="31" max="31" width="15.42578125" style="23" customWidth="1"/>
    <col min="32" max="32" width="14" style="23" bestFit="1" customWidth="1"/>
    <col min="33" max="34" width="9" style="23"/>
    <col min="35" max="35" width="9.140625" style="23" bestFit="1" customWidth="1"/>
    <col min="36" max="260" width="9" style="23"/>
    <col min="261" max="261" width="15.28515625" style="23" customWidth="1"/>
    <col min="262" max="262" width="83.140625" style="23" bestFit="1" customWidth="1"/>
    <col min="263" max="263" width="22" style="23" customWidth="1"/>
    <col min="264" max="264" width="102.140625" style="23" bestFit="1" customWidth="1"/>
    <col min="265" max="265" width="17.28515625" style="23" customWidth="1"/>
    <col min="266" max="266" width="29.85546875" style="23" bestFit="1" customWidth="1"/>
    <col min="267" max="267" width="31.140625" style="23" customWidth="1"/>
    <col min="268" max="268" width="21.85546875" style="23" customWidth="1"/>
    <col min="269" max="269" width="14.140625" style="23" customWidth="1"/>
    <col min="270" max="270" width="25.7109375" style="23" customWidth="1"/>
    <col min="271" max="271" width="26.7109375" style="23" customWidth="1"/>
    <col min="272" max="272" width="58.42578125" style="23" bestFit="1" customWidth="1"/>
    <col min="273" max="273" width="12.42578125" style="23" customWidth="1"/>
    <col min="274" max="274" width="19.28515625" style="23" customWidth="1"/>
    <col min="275" max="275" width="16.5703125" style="23" customWidth="1"/>
    <col min="276" max="276" width="29" style="23" customWidth="1"/>
    <col min="277" max="277" width="17.28515625" style="23" customWidth="1"/>
    <col min="278" max="278" width="13.85546875" style="23" customWidth="1"/>
    <col min="279" max="279" width="12.7109375" style="23" customWidth="1"/>
    <col min="280" max="516" width="9" style="23"/>
    <col min="517" max="517" width="15.28515625" style="23" customWidth="1"/>
    <col min="518" max="518" width="83.140625" style="23" bestFit="1" customWidth="1"/>
    <col min="519" max="519" width="22" style="23" customWidth="1"/>
    <col min="520" max="520" width="102.140625" style="23" bestFit="1" customWidth="1"/>
    <col min="521" max="521" width="17.28515625" style="23" customWidth="1"/>
    <col min="522" max="522" width="29.85546875" style="23" bestFit="1" customWidth="1"/>
    <col min="523" max="523" width="31.140625" style="23" customWidth="1"/>
    <col min="524" max="524" width="21.85546875" style="23" customWidth="1"/>
    <col min="525" max="525" width="14.140625" style="23" customWidth="1"/>
    <col min="526" max="526" width="25.7109375" style="23" customWidth="1"/>
    <col min="527" max="527" width="26.7109375" style="23" customWidth="1"/>
    <col min="528" max="528" width="58.42578125" style="23" bestFit="1" customWidth="1"/>
    <col min="529" max="529" width="12.42578125" style="23" customWidth="1"/>
    <col min="530" max="530" width="19.28515625" style="23" customWidth="1"/>
    <col min="531" max="531" width="16.5703125" style="23" customWidth="1"/>
    <col min="532" max="532" width="29" style="23" customWidth="1"/>
    <col min="533" max="533" width="17.28515625" style="23" customWidth="1"/>
    <col min="534" max="534" width="13.85546875" style="23" customWidth="1"/>
    <col min="535" max="535" width="12.7109375" style="23" customWidth="1"/>
    <col min="536" max="772" width="9" style="23"/>
    <col min="773" max="773" width="15.28515625" style="23" customWidth="1"/>
    <col min="774" max="774" width="83.140625" style="23" bestFit="1" customWidth="1"/>
    <col min="775" max="775" width="22" style="23" customWidth="1"/>
    <col min="776" max="776" width="102.140625" style="23" bestFit="1" customWidth="1"/>
    <col min="777" max="777" width="17.28515625" style="23" customWidth="1"/>
    <col min="778" max="778" width="29.85546875" style="23" bestFit="1" customWidth="1"/>
    <col min="779" max="779" width="31.140625" style="23" customWidth="1"/>
    <col min="780" max="780" width="21.85546875" style="23" customWidth="1"/>
    <col min="781" max="781" width="14.140625" style="23" customWidth="1"/>
    <col min="782" max="782" width="25.7109375" style="23" customWidth="1"/>
    <col min="783" max="783" width="26.7109375" style="23" customWidth="1"/>
    <col min="784" max="784" width="58.42578125" style="23" bestFit="1" customWidth="1"/>
    <col min="785" max="785" width="12.42578125" style="23" customWidth="1"/>
    <col min="786" max="786" width="19.28515625" style="23" customWidth="1"/>
    <col min="787" max="787" width="16.5703125" style="23" customWidth="1"/>
    <col min="788" max="788" width="29" style="23" customWidth="1"/>
    <col min="789" max="789" width="17.28515625" style="23" customWidth="1"/>
    <col min="790" max="790" width="13.85546875" style="23" customWidth="1"/>
    <col min="791" max="791" width="12.7109375" style="23" customWidth="1"/>
    <col min="792" max="1028" width="9" style="23"/>
    <col min="1029" max="1029" width="15.28515625" style="23" customWidth="1"/>
    <col min="1030" max="1030" width="83.140625" style="23" bestFit="1" customWidth="1"/>
    <col min="1031" max="1031" width="22" style="23" customWidth="1"/>
    <col min="1032" max="1032" width="102.140625" style="23" bestFit="1" customWidth="1"/>
    <col min="1033" max="1033" width="17.28515625" style="23" customWidth="1"/>
    <col min="1034" max="1034" width="29.85546875" style="23" bestFit="1" customWidth="1"/>
    <col min="1035" max="1035" width="31.140625" style="23" customWidth="1"/>
    <col min="1036" max="1036" width="21.85546875" style="23" customWidth="1"/>
    <col min="1037" max="1037" width="14.140625" style="23" customWidth="1"/>
    <col min="1038" max="1038" width="25.7109375" style="23" customWidth="1"/>
    <col min="1039" max="1039" width="26.7109375" style="23" customWidth="1"/>
    <col min="1040" max="1040" width="58.42578125" style="23" bestFit="1" customWidth="1"/>
    <col min="1041" max="1041" width="12.42578125" style="23" customWidth="1"/>
    <col min="1042" max="1042" width="19.28515625" style="23" customWidth="1"/>
    <col min="1043" max="1043" width="16.5703125" style="23" customWidth="1"/>
    <col min="1044" max="1044" width="29" style="23" customWidth="1"/>
    <col min="1045" max="1045" width="17.28515625" style="23" customWidth="1"/>
    <col min="1046" max="1046" width="13.85546875" style="23" customWidth="1"/>
    <col min="1047" max="1047" width="12.7109375" style="23" customWidth="1"/>
    <col min="1048" max="1284" width="9" style="23"/>
    <col min="1285" max="1285" width="15.28515625" style="23" customWidth="1"/>
    <col min="1286" max="1286" width="83.140625" style="23" bestFit="1" customWidth="1"/>
    <col min="1287" max="1287" width="22" style="23" customWidth="1"/>
    <col min="1288" max="1288" width="102.140625" style="23" bestFit="1" customWidth="1"/>
    <col min="1289" max="1289" width="17.28515625" style="23" customWidth="1"/>
    <col min="1290" max="1290" width="29.85546875" style="23" bestFit="1" customWidth="1"/>
    <col min="1291" max="1291" width="31.140625" style="23" customWidth="1"/>
    <col min="1292" max="1292" width="21.85546875" style="23" customWidth="1"/>
    <col min="1293" max="1293" width="14.140625" style="23" customWidth="1"/>
    <col min="1294" max="1294" width="25.7109375" style="23" customWidth="1"/>
    <col min="1295" max="1295" width="26.7109375" style="23" customWidth="1"/>
    <col min="1296" max="1296" width="58.42578125" style="23" bestFit="1" customWidth="1"/>
    <col min="1297" max="1297" width="12.42578125" style="23" customWidth="1"/>
    <col min="1298" max="1298" width="19.28515625" style="23" customWidth="1"/>
    <col min="1299" max="1299" width="16.5703125" style="23" customWidth="1"/>
    <col min="1300" max="1300" width="29" style="23" customWidth="1"/>
    <col min="1301" max="1301" width="17.28515625" style="23" customWidth="1"/>
    <col min="1302" max="1302" width="13.85546875" style="23" customWidth="1"/>
    <col min="1303" max="1303" width="12.7109375" style="23" customWidth="1"/>
    <col min="1304" max="1540" width="9" style="23"/>
    <col min="1541" max="1541" width="15.28515625" style="23" customWidth="1"/>
    <col min="1542" max="1542" width="83.140625" style="23" bestFit="1" customWidth="1"/>
    <col min="1543" max="1543" width="22" style="23" customWidth="1"/>
    <col min="1544" max="1544" width="102.140625" style="23" bestFit="1" customWidth="1"/>
    <col min="1545" max="1545" width="17.28515625" style="23" customWidth="1"/>
    <col min="1546" max="1546" width="29.85546875" style="23" bestFit="1" customWidth="1"/>
    <col min="1547" max="1547" width="31.140625" style="23" customWidth="1"/>
    <col min="1548" max="1548" width="21.85546875" style="23" customWidth="1"/>
    <col min="1549" max="1549" width="14.140625" style="23" customWidth="1"/>
    <col min="1550" max="1550" width="25.7109375" style="23" customWidth="1"/>
    <col min="1551" max="1551" width="26.7109375" style="23" customWidth="1"/>
    <col min="1552" max="1552" width="58.42578125" style="23" bestFit="1" customWidth="1"/>
    <col min="1553" max="1553" width="12.42578125" style="23" customWidth="1"/>
    <col min="1554" max="1554" width="19.28515625" style="23" customWidth="1"/>
    <col min="1555" max="1555" width="16.5703125" style="23" customWidth="1"/>
    <col min="1556" max="1556" width="29" style="23" customWidth="1"/>
    <col min="1557" max="1557" width="17.28515625" style="23" customWidth="1"/>
    <col min="1558" max="1558" width="13.85546875" style="23" customWidth="1"/>
    <col min="1559" max="1559" width="12.7109375" style="23" customWidth="1"/>
    <col min="1560" max="1796" width="9" style="23"/>
    <col min="1797" max="1797" width="15.28515625" style="23" customWidth="1"/>
    <col min="1798" max="1798" width="83.140625" style="23" bestFit="1" customWidth="1"/>
    <col min="1799" max="1799" width="22" style="23" customWidth="1"/>
    <col min="1800" max="1800" width="102.140625" style="23" bestFit="1" customWidth="1"/>
    <col min="1801" max="1801" width="17.28515625" style="23" customWidth="1"/>
    <col min="1802" max="1802" width="29.85546875" style="23" bestFit="1" customWidth="1"/>
    <col min="1803" max="1803" width="31.140625" style="23" customWidth="1"/>
    <col min="1804" max="1804" width="21.85546875" style="23" customWidth="1"/>
    <col min="1805" max="1805" width="14.140625" style="23" customWidth="1"/>
    <col min="1806" max="1806" width="25.7109375" style="23" customWidth="1"/>
    <col min="1807" max="1807" width="26.7109375" style="23" customWidth="1"/>
    <col min="1808" max="1808" width="58.42578125" style="23" bestFit="1" customWidth="1"/>
    <col min="1809" max="1809" width="12.42578125" style="23" customWidth="1"/>
    <col min="1810" max="1810" width="19.28515625" style="23" customWidth="1"/>
    <col min="1811" max="1811" width="16.5703125" style="23" customWidth="1"/>
    <col min="1812" max="1812" width="29" style="23" customWidth="1"/>
    <col min="1813" max="1813" width="17.28515625" style="23" customWidth="1"/>
    <col min="1814" max="1814" width="13.85546875" style="23" customWidth="1"/>
    <col min="1815" max="1815" width="12.7109375" style="23" customWidth="1"/>
    <col min="1816" max="2052" width="9" style="23"/>
    <col min="2053" max="2053" width="15.28515625" style="23" customWidth="1"/>
    <col min="2054" max="2054" width="83.140625" style="23" bestFit="1" customWidth="1"/>
    <col min="2055" max="2055" width="22" style="23" customWidth="1"/>
    <col min="2056" max="2056" width="102.140625" style="23" bestFit="1" customWidth="1"/>
    <col min="2057" max="2057" width="17.28515625" style="23" customWidth="1"/>
    <col min="2058" max="2058" width="29.85546875" style="23" bestFit="1" customWidth="1"/>
    <col min="2059" max="2059" width="31.140625" style="23" customWidth="1"/>
    <col min="2060" max="2060" width="21.85546875" style="23" customWidth="1"/>
    <col min="2061" max="2061" width="14.140625" style="23" customWidth="1"/>
    <col min="2062" max="2062" width="25.7109375" style="23" customWidth="1"/>
    <col min="2063" max="2063" width="26.7109375" style="23" customWidth="1"/>
    <col min="2064" max="2064" width="58.42578125" style="23" bestFit="1" customWidth="1"/>
    <col min="2065" max="2065" width="12.42578125" style="23" customWidth="1"/>
    <col min="2066" max="2066" width="19.28515625" style="23" customWidth="1"/>
    <col min="2067" max="2067" width="16.5703125" style="23" customWidth="1"/>
    <col min="2068" max="2068" width="29" style="23" customWidth="1"/>
    <col min="2069" max="2069" width="17.28515625" style="23" customWidth="1"/>
    <col min="2070" max="2070" width="13.85546875" style="23" customWidth="1"/>
    <col min="2071" max="2071" width="12.7109375" style="23" customWidth="1"/>
    <col min="2072" max="2308" width="9" style="23"/>
    <col min="2309" max="2309" width="15.28515625" style="23" customWidth="1"/>
    <col min="2310" max="2310" width="83.140625" style="23" bestFit="1" customWidth="1"/>
    <col min="2311" max="2311" width="22" style="23" customWidth="1"/>
    <col min="2312" max="2312" width="102.140625" style="23" bestFit="1" customWidth="1"/>
    <col min="2313" max="2313" width="17.28515625" style="23" customWidth="1"/>
    <col min="2314" max="2314" width="29.85546875" style="23" bestFit="1" customWidth="1"/>
    <col min="2315" max="2315" width="31.140625" style="23" customWidth="1"/>
    <col min="2316" max="2316" width="21.85546875" style="23" customWidth="1"/>
    <col min="2317" max="2317" width="14.140625" style="23" customWidth="1"/>
    <col min="2318" max="2318" width="25.7109375" style="23" customWidth="1"/>
    <col min="2319" max="2319" width="26.7109375" style="23" customWidth="1"/>
    <col min="2320" max="2320" width="58.42578125" style="23" bestFit="1" customWidth="1"/>
    <col min="2321" max="2321" width="12.42578125" style="23" customWidth="1"/>
    <col min="2322" max="2322" width="19.28515625" style="23" customWidth="1"/>
    <col min="2323" max="2323" width="16.5703125" style="23" customWidth="1"/>
    <col min="2324" max="2324" width="29" style="23" customWidth="1"/>
    <col min="2325" max="2325" width="17.28515625" style="23" customWidth="1"/>
    <col min="2326" max="2326" width="13.85546875" style="23" customWidth="1"/>
    <col min="2327" max="2327" width="12.7109375" style="23" customWidth="1"/>
    <col min="2328" max="2564" width="9" style="23"/>
    <col min="2565" max="2565" width="15.28515625" style="23" customWidth="1"/>
    <col min="2566" max="2566" width="83.140625" style="23" bestFit="1" customWidth="1"/>
    <col min="2567" max="2567" width="22" style="23" customWidth="1"/>
    <col min="2568" max="2568" width="102.140625" style="23" bestFit="1" customWidth="1"/>
    <col min="2569" max="2569" width="17.28515625" style="23" customWidth="1"/>
    <col min="2570" max="2570" width="29.85546875" style="23" bestFit="1" customWidth="1"/>
    <col min="2571" max="2571" width="31.140625" style="23" customWidth="1"/>
    <col min="2572" max="2572" width="21.85546875" style="23" customWidth="1"/>
    <col min="2573" max="2573" width="14.140625" style="23" customWidth="1"/>
    <col min="2574" max="2574" width="25.7109375" style="23" customWidth="1"/>
    <col min="2575" max="2575" width="26.7109375" style="23" customWidth="1"/>
    <col min="2576" max="2576" width="58.42578125" style="23" bestFit="1" customWidth="1"/>
    <col min="2577" max="2577" width="12.42578125" style="23" customWidth="1"/>
    <col min="2578" max="2578" width="19.28515625" style="23" customWidth="1"/>
    <col min="2579" max="2579" width="16.5703125" style="23" customWidth="1"/>
    <col min="2580" max="2580" width="29" style="23" customWidth="1"/>
    <col min="2581" max="2581" width="17.28515625" style="23" customWidth="1"/>
    <col min="2582" max="2582" width="13.85546875" style="23" customWidth="1"/>
    <col min="2583" max="2583" width="12.7109375" style="23" customWidth="1"/>
    <col min="2584" max="2820" width="9" style="23"/>
    <col min="2821" max="2821" width="15.28515625" style="23" customWidth="1"/>
    <col min="2822" max="2822" width="83.140625" style="23" bestFit="1" customWidth="1"/>
    <col min="2823" max="2823" width="22" style="23" customWidth="1"/>
    <col min="2824" max="2824" width="102.140625" style="23" bestFit="1" customWidth="1"/>
    <col min="2825" max="2825" width="17.28515625" style="23" customWidth="1"/>
    <col min="2826" max="2826" width="29.85546875" style="23" bestFit="1" customWidth="1"/>
    <col min="2827" max="2827" width="31.140625" style="23" customWidth="1"/>
    <col min="2828" max="2828" width="21.85546875" style="23" customWidth="1"/>
    <col min="2829" max="2829" width="14.140625" style="23" customWidth="1"/>
    <col min="2830" max="2830" width="25.7109375" style="23" customWidth="1"/>
    <col min="2831" max="2831" width="26.7109375" style="23" customWidth="1"/>
    <col min="2832" max="2832" width="58.42578125" style="23" bestFit="1" customWidth="1"/>
    <col min="2833" max="2833" width="12.42578125" style="23" customWidth="1"/>
    <col min="2834" max="2834" width="19.28515625" style="23" customWidth="1"/>
    <col min="2835" max="2835" width="16.5703125" style="23" customWidth="1"/>
    <col min="2836" max="2836" width="29" style="23" customWidth="1"/>
    <col min="2837" max="2837" width="17.28515625" style="23" customWidth="1"/>
    <col min="2838" max="2838" width="13.85546875" style="23" customWidth="1"/>
    <col min="2839" max="2839" width="12.7109375" style="23" customWidth="1"/>
    <col min="2840" max="3076" width="9" style="23"/>
    <col min="3077" max="3077" width="15.28515625" style="23" customWidth="1"/>
    <col min="3078" max="3078" width="83.140625" style="23" bestFit="1" customWidth="1"/>
    <col min="3079" max="3079" width="22" style="23" customWidth="1"/>
    <col min="3080" max="3080" width="102.140625" style="23" bestFit="1" customWidth="1"/>
    <col min="3081" max="3081" width="17.28515625" style="23" customWidth="1"/>
    <col min="3082" max="3082" width="29.85546875" style="23" bestFit="1" customWidth="1"/>
    <col min="3083" max="3083" width="31.140625" style="23" customWidth="1"/>
    <col min="3084" max="3084" width="21.85546875" style="23" customWidth="1"/>
    <col min="3085" max="3085" width="14.140625" style="23" customWidth="1"/>
    <col min="3086" max="3086" width="25.7109375" style="23" customWidth="1"/>
    <col min="3087" max="3087" width="26.7109375" style="23" customWidth="1"/>
    <col min="3088" max="3088" width="58.42578125" style="23" bestFit="1" customWidth="1"/>
    <col min="3089" max="3089" width="12.42578125" style="23" customWidth="1"/>
    <col min="3090" max="3090" width="19.28515625" style="23" customWidth="1"/>
    <col min="3091" max="3091" width="16.5703125" style="23" customWidth="1"/>
    <col min="3092" max="3092" width="29" style="23" customWidth="1"/>
    <col min="3093" max="3093" width="17.28515625" style="23" customWidth="1"/>
    <col min="3094" max="3094" width="13.85546875" style="23" customWidth="1"/>
    <col min="3095" max="3095" width="12.7109375" style="23" customWidth="1"/>
    <col min="3096" max="3332" width="9" style="23"/>
    <col min="3333" max="3333" width="15.28515625" style="23" customWidth="1"/>
    <col min="3334" max="3334" width="83.140625" style="23" bestFit="1" customWidth="1"/>
    <col min="3335" max="3335" width="22" style="23" customWidth="1"/>
    <col min="3336" max="3336" width="102.140625" style="23" bestFit="1" customWidth="1"/>
    <col min="3337" max="3337" width="17.28515625" style="23" customWidth="1"/>
    <col min="3338" max="3338" width="29.85546875" style="23" bestFit="1" customWidth="1"/>
    <col min="3339" max="3339" width="31.140625" style="23" customWidth="1"/>
    <col min="3340" max="3340" width="21.85546875" style="23" customWidth="1"/>
    <col min="3341" max="3341" width="14.140625" style="23" customWidth="1"/>
    <col min="3342" max="3342" width="25.7109375" style="23" customWidth="1"/>
    <col min="3343" max="3343" width="26.7109375" style="23" customWidth="1"/>
    <col min="3344" max="3344" width="58.42578125" style="23" bestFit="1" customWidth="1"/>
    <col min="3345" max="3345" width="12.42578125" style="23" customWidth="1"/>
    <col min="3346" max="3346" width="19.28515625" style="23" customWidth="1"/>
    <col min="3347" max="3347" width="16.5703125" style="23" customWidth="1"/>
    <col min="3348" max="3348" width="29" style="23" customWidth="1"/>
    <col min="3349" max="3349" width="17.28515625" style="23" customWidth="1"/>
    <col min="3350" max="3350" width="13.85546875" style="23" customWidth="1"/>
    <col min="3351" max="3351" width="12.7109375" style="23" customWidth="1"/>
    <col min="3352" max="3588" width="9" style="23"/>
    <col min="3589" max="3589" width="15.28515625" style="23" customWidth="1"/>
    <col min="3590" max="3590" width="83.140625" style="23" bestFit="1" customWidth="1"/>
    <col min="3591" max="3591" width="22" style="23" customWidth="1"/>
    <col min="3592" max="3592" width="102.140625" style="23" bestFit="1" customWidth="1"/>
    <col min="3593" max="3593" width="17.28515625" style="23" customWidth="1"/>
    <col min="3594" max="3594" width="29.85546875" style="23" bestFit="1" customWidth="1"/>
    <col min="3595" max="3595" width="31.140625" style="23" customWidth="1"/>
    <col min="3596" max="3596" width="21.85546875" style="23" customWidth="1"/>
    <col min="3597" max="3597" width="14.140625" style="23" customWidth="1"/>
    <col min="3598" max="3598" width="25.7109375" style="23" customWidth="1"/>
    <col min="3599" max="3599" width="26.7109375" style="23" customWidth="1"/>
    <col min="3600" max="3600" width="58.42578125" style="23" bestFit="1" customWidth="1"/>
    <col min="3601" max="3601" width="12.42578125" style="23" customWidth="1"/>
    <col min="3602" max="3602" width="19.28515625" style="23" customWidth="1"/>
    <col min="3603" max="3603" width="16.5703125" style="23" customWidth="1"/>
    <col min="3604" max="3604" width="29" style="23" customWidth="1"/>
    <col min="3605" max="3605" width="17.28515625" style="23" customWidth="1"/>
    <col min="3606" max="3606" width="13.85546875" style="23" customWidth="1"/>
    <col min="3607" max="3607" width="12.7109375" style="23" customWidth="1"/>
    <col min="3608" max="3844" width="9" style="23"/>
    <col min="3845" max="3845" width="15.28515625" style="23" customWidth="1"/>
    <col min="3846" max="3846" width="83.140625" style="23" bestFit="1" customWidth="1"/>
    <col min="3847" max="3847" width="22" style="23" customWidth="1"/>
    <col min="3848" max="3848" width="102.140625" style="23" bestFit="1" customWidth="1"/>
    <col min="3849" max="3849" width="17.28515625" style="23" customWidth="1"/>
    <col min="3850" max="3850" width="29.85546875" style="23" bestFit="1" customWidth="1"/>
    <col min="3851" max="3851" width="31.140625" style="23" customWidth="1"/>
    <col min="3852" max="3852" width="21.85546875" style="23" customWidth="1"/>
    <col min="3853" max="3853" width="14.140625" style="23" customWidth="1"/>
    <col min="3854" max="3854" width="25.7109375" style="23" customWidth="1"/>
    <col min="3855" max="3855" width="26.7109375" style="23" customWidth="1"/>
    <col min="3856" max="3856" width="58.42578125" style="23" bestFit="1" customWidth="1"/>
    <col min="3857" max="3857" width="12.42578125" style="23" customWidth="1"/>
    <col min="3858" max="3858" width="19.28515625" style="23" customWidth="1"/>
    <col min="3859" max="3859" width="16.5703125" style="23" customWidth="1"/>
    <col min="3860" max="3860" width="29" style="23" customWidth="1"/>
    <col min="3861" max="3861" width="17.28515625" style="23" customWidth="1"/>
    <col min="3862" max="3862" width="13.85546875" style="23" customWidth="1"/>
    <col min="3863" max="3863" width="12.7109375" style="23" customWidth="1"/>
    <col min="3864" max="4100" width="9" style="23"/>
    <col min="4101" max="4101" width="15.28515625" style="23" customWidth="1"/>
    <col min="4102" max="4102" width="83.140625" style="23" bestFit="1" customWidth="1"/>
    <col min="4103" max="4103" width="22" style="23" customWidth="1"/>
    <col min="4104" max="4104" width="102.140625" style="23" bestFit="1" customWidth="1"/>
    <col min="4105" max="4105" width="17.28515625" style="23" customWidth="1"/>
    <col min="4106" max="4106" width="29.85546875" style="23" bestFit="1" customWidth="1"/>
    <col min="4107" max="4107" width="31.140625" style="23" customWidth="1"/>
    <col min="4108" max="4108" width="21.85546875" style="23" customWidth="1"/>
    <col min="4109" max="4109" width="14.140625" style="23" customWidth="1"/>
    <col min="4110" max="4110" width="25.7109375" style="23" customWidth="1"/>
    <col min="4111" max="4111" width="26.7109375" style="23" customWidth="1"/>
    <col min="4112" max="4112" width="58.42578125" style="23" bestFit="1" customWidth="1"/>
    <col min="4113" max="4113" width="12.42578125" style="23" customWidth="1"/>
    <col min="4114" max="4114" width="19.28515625" style="23" customWidth="1"/>
    <col min="4115" max="4115" width="16.5703125" style="23" customWidth="1"/>
    <col min="4116" max="4116" width="29" style="23" customWidth="1"/>
    <col min="4117" max="4117" width="17.28515625" style="23" customWidth="1"/>
    <col min="4118" max="4118" width="13.85546875" style="23" customWidth="1"/>
    <col min="4119" max="4119" width="12.7109375" style="23" customWidth="1"/>
    <col min="4120" max="4356" width="9" style="23"/>
    <col min="4357" max="4357" width="15.28515625" style="23" customWidth="1"/>
    <col min="4358" max="4358" width="83.140625" style="23" bestFit="1" customWidth="1"/>
    <col min="4359" max="4359" width="22" style="23" customWidth="1"/>
    <col min="4360" max="4360" width="102.140625" style="23" bestFit="1" customWidth="1"/>
    <col min="4361" max="4361" width="17.28515625" style="23" customWidth="1"/>
    <col min="4362" max="4362" width="29.85546875" style="23" bestFit="1" customWidth="1"/>
    <col min="4363" max="4363" width="31.140625" style="23" customWidth="1"/>
    <col min="4364" max="4364" width="21.85546875" style="23" customWidth="1"/>
    <col min="4365" max="4365" width="14.140625" style="23" customWidth="1"/>
    <col min="4366" max="4366" width="25.7109375" style="23" customWidth="1"/>
    <col min="4367" max="4367" width="26.7109375" style="23" customWidth="1"/>
    <col min="4368" max="4368" width="58.42578125" style="23" bestFit="1" customWidth="1"/>
    <col min="4369" max="4369" width="12.42578125" style="23" customWidth="1"/>
    <col min="4370" max="4370" width="19.28515625" style="23" customWidth="1"/>
    <col min="4371" max="4371" width="16.5703125" style="23" customWidth="1"/>
    <col min="4372" max="4372" width="29" style="23" customWidth="1"/>
    <col min="4373" max="4373" width="17.28515625" style="23" customWidth="1"/>
    <col min="4374" max="4374" width="13.85546875" style="23" customWidth="1"/>
    <col min="4375" max="4375" width="12.7109375" style="23" customWidth="1"/>
    <col min="4376" max="4612" width="9" style="23"/>
    <col min="4613" max="4613" width="15.28515625" style="23" customWidth="1"/>
    <col min="4614" max="4614" width="83.140625" style="23" bestFit="1" customWidth="1"/>
    <col min="4615" max="4615" width="22" style="23" customWidth="1"/>
    <col min="4616" max="4616" width="102.140625" style="23" bestFit="1" customWidth="1"/>
    <col min="4617" max="4617" width="17.28515625" style="23" customWidth="1"/>
    <col min="4618" max="4618" width="29.85546875" style="23" bestFit="1" customWidth="1"/>
    <col min="4619" max="4619" width="31.140625" style="23" customWidth="1"/>
    <col min="4620" max="4620" width="21.85546875" style="23" customWidth="1"/>
    <col min="4621" max="4621" width="14.140625" style="23" customWidth="1"/>
    <col min="4622" max="4622" width="25.7109375" style="23" customWidth="1"/>
    <col min="4623" max="4623" width="26.7109375" style="23" customWidth="1"/>
    <col min="4624" max="4624" width="58.42578125" style="23" bestFit="1" customWidth="1"/>
    <col min="4625" max="4625" width="12.42578125" style="23" customWidth="1"/>
    <col min="4626" max="4626" width="19.28515625" style="23" customWidth="1"/>
    <col min="4627" max="4627" width="16.5703125" style="23" customWidth="1"/>
    <col min="4628" max="4628" width="29" style="23" customWidth="1"/>
    <col min="4629" max="4629" width="17.28515625" style="23" customWidth="1"/>
    <col min="4630" max="4630" width="13.85546875" style="23" customWidth="1"/>
    <col min="4631" max="4631" width="12.7109375" style="23" customWidth="1"/>
    <col min="4632" max="4868" width="9" style="23"/>
    <col min="4869" max="4869" width="15.28515625" style="23" customWidth="1"/>
    <col min="4870" max="4870" width="83.140625" style="23" bestFit="1" customWidth="1"/>
    <col min="4871" max="4871" width="22" style="23" customWidth="1"/>
    <col min="4872" max="4872" width="102.140625" style="23" bestFit="1" customWidth="1"/>
    <col min="4873" max="4873" width="17.28515625" style="23" customWidth="1"/>
    <col min="4874" max="4874" width="29.85546875" style="23" bestFit="1" customWidth="1"/>
    <col min="4875" max="4875" width="31.140625" style="23" customWidth="1"/>
    <col min="4876" max="4876" width="21.85546875" style="23" customWidth="1"/>
    <col min="4877" max="4877" width="14.140625" style="23" customWidth="1"/>
    <col min="4878" max="4878" width="25.7109375" style="23" customWidth="1"/>
    <col min="4879" max="4879" width="26.7109375" style="23" customWidth="1"/>
    <col min="4880" max="4880" width="58.42578125" style="23" bestFit="1" customWidth="1"/>
    <col min="4881" max="4881" width="12.42578125" style="23" customWidth="1"/>
    <col min="4882" max="4882" width="19.28515625" style="23" customWidth="1"/>
    <col min="4883" max="4883" width="16.5703125" style="23" customWidth="1"/>
    <col min="4884" max="4884" width="29" style="23" customWidth="1"/>
    <col min="4885" max="4885" width="17.28515625" style="23" customWidth="1"/>
    <col min="4886" max="4886" width="13.85546875" style="23" customWidth="1"/>
    <col min="4887" max="4887" width="12.7109375" style="23" customWidth="1"/>
    <col min="4888" max="5124" width="9" style="23"/>
    <col min="5125" max="5125" width="15.28515625" style="23" customWidth="1"/>
    <col min="5126" max="5126" width="83.140625" style="23" bestFit="1" customWidth="1"/>
    <col min="5127" max="5127" width="22" style="23" customWidth="1"/>
    <col min="5128" max="5128" width="102.140625" style="23" bestFit="1" customWidth="1"/>
    <col min="5129" max="5129" width="17.28515625" style="23" customWidth="1"/>
    <col min="5130" max="5130" width="29.85546875" style="23" bestFit="1" customWidth="1"/>
    <col min="5131" max="5131" width="31.140625" style="23" customWidth="1"/>
    <col min="5132" max="5132" width="21.85546875" style="23" customWidth="1"/>
    <col min="5133" max="5133" width="14.140625" style="23" customWidth="1"/>
    <col min="5134" max="5134" width="25.7109375" style="23" customWidth="1"/>
    <col min="5135" max="5135" width="26.7109375" style="23" customWidth="1"/>
    <col min="5136" max="5136" width="58.42578125" style="23" bestFit="1" customWidth="1"/>
    <col min="5137" max="5137" width="12.42578125" style="23" customWidth="1"/>
    <col min="5138" max="5138" width="19.28515625" style="23" customWidth="1"/>
    <col min="5139" max="5139" width="16.5703125" style="23" customWidth="1"/>
    <col min="5140" max="5140" width="29" style="23" customWidth="1"/>
    <col min="5141" max="5141" width="17.28515625" style="23" customWidth="1"/>
    <col min="5142" max="5142" width="13.85546875" style="23" customWidth="1"/>
    <col min="5143" max="5143" width="12.7109375" style="23" customWidth="1"/>
    <col min="5144" max="5380" width="9" style="23"/>
    <col min="5381" max="5381" width="15.28515625" style="23" customWidth="1"/>
    <col min="5382" max="5382" width="83.140625" style="23" bestFit="1" customWidth="1"/>
    <col min="5383" max="5383" width="22" style="23" customWidth="1"/>
    <col min="5384" max="5384" width="102.140625" style="23" bestFit="1" customWidth="1"/>
    <col min="5385" max="5385" width="17.28515625" style="23" customWidth="1"/>
    <col min="5386" max="5386" width="29.85546875" style="23" bestFit="1" customWidth="1"/>
    <col min="5387" max="5387" width="31.140625" style="23" customWidth="1"/>
    <col min="5388" max="5388" width="21.85546875" style="23" customWidth="1"/>
    <col min="5389" max="5389" width="14.140625" style="23" customWidth="1"/>
    <col min="5390" max="5390" width="25.7109375" style="23" customWidth="1"/>
    <col min="5391" max="5391" width="26.7109375" style="23" customWidth="1"/>
    <col min="5392" max="5392" width="58.42578125" style="23" bestFit="1" customWidth="1"/>
    <col min="5393" max="5393" width="12.42578125" style="23" customWidth="1"/>
    <col min="5394" max="5394" width="19.28515625" style="23" customWidth="1"/>
    <col min="5395" max="5395" width="16.5703125" style="23" customWidth="1"/>
    <col min="5396" max="5396" width="29" style="23" customWidth="1"/>
    <col min="5397" max="5397" width="17.28515625" style="23" customWidth="1"/>
    <col min="5398" max="5398" width="13.85546875" style="23" customWidth="1"/>
    <col min="5399" max="5399" width="12.7109375" style="23" customWidth="1"/>
    <col min="5400" max="5636" width="9" style="23"/>
    <col min="5637" max="5637" width="15.28515625" style="23" customWidth="1"/>
    <col min="5638" max="5638" width="83.140625" style="23" bestFit="1" customWidth="1"/>
    <col min="5639" max="5639" width="22" style="23" customWidth="1"/>
    <col min="5640" max="5640" width="102.140625" style="23" bestFit="1" customWidth="1"/>
    <col min="5641" max="5641" width="17.28515625" style="23" customWidth="1"/>
    <col min="5642" max="5642" width="29.85546875" style="23" bestFit="1" customWidth="1"/>
    <col min="5643" max="5643" width="31.140625" style="23" customWidth="1"/>
    <col min="5644" max="5644" width="21.85546875" style="23" customWidth="1"/>
    <col min="5645" max="5645" width="14.140625" style="23" customWidth="1"/>
    <col min="5646" max="5646" width="25.7109375" style="23" customWidth="1"/>
    <col min="5647" max="5647" width="26.7109375" style="23" customWidth="1"/>
    <col min="5648" max="5648" width="58.42578125" style="23" bestFit="1" customWidth="1"/>
    <col min="5649" max="5649" width="12.42578125" style="23" customWidth="1"/>
    <col min="5650" max="5650" width="19.28515625" style="23" customWidth="1"/>
    <col min="5651" max="5651" width="16.5703125" style="23" customWidth="1"/>
    <col min="5652" max="5652" width="29" style="23" customWidth="1"/>
    <col min="5653" max="5653" width="17.28515625" style="23" customWidth="1"/>
    <col min="5654" max="5654" width="13.85546875" style="23" customWidth="1"/>
    <col min="5655" max="5655" width="12.7109375" style="23" customWidth="1"/>
    <col min="5656" max="5892" width="9" style="23"/>
    <col min="5893" max="5893" width="15.28515625" style="23" customWidth="1"/>
    <col min="5894" max="5894" width="83.140625" style="23" bestFit="1" customWidth="1"/>
    <col min="5895" max="5895" width="22" style="23" customWidth="1"/>
    <col min="5896" max="5896" width="102.140625" style="23" bestFit="1" customWidth="1"/>
    <col min="5897" max="5897" width="17.28515625" style="23" customWidth="1"/>
    <col min="5898" max="5898" width="29.85546875" style="23" bestFit="1" customWidth="1"/>
    <col min="5899" max="5899" width="31.140625" style="23" customWidth="1"/>
    <col min="5900" max="5900" width="21.85546875" style="23" customWidth="1"/>
    <col min="5901" max="5901" width="14.140625" style="23" customWidth="1"/>
    <col min="5902" max="5902" width="25.7109375" style="23" customWidth="1"/>
    <col min="5903" max="5903" width="26.7109375" style="23" customWidth="1"/>
    <col min="5904" max="5904" width="58.42578125" style="23" bestFit="1" customWidth="1"/>
    <col min="5905" max="5905" width="12.42578125" style="23" customWidth="1"/>
    <col min="5906" max="5906" width="19.28515625" style="23" customWidth="1"/>
    <col min="5907" max="5907" width="16.5703125" style="23" customWidth="1"/>
    <col min="5908" max="5908" width="29" style="23" customWidth="1"/>
    <col min="5909" max="5909" width="17.28515625" style="23" customWidth="1"/>
    <col min="5910" max="5910" width="13.85546875" style="23" customWidth="1"/>
    <col min="5911" max="5911" width="12.7109375" style="23" customWidth="1"/>
    <col min="5912" max="6148" width="9" style="23"/>
    <col min="6149" max="6149" width="15.28515625" style="23" customWidth="1"/>
    <col min="6150" max="6150" width="83.140625" style="23" bestFit="1" customWidth="1"/>
    <col min="6151" max="6151" width="22" style="23" customWidth="1"/>
    <col min="6152" max="6152" width="102.140625" style="23" bestFit="1" customWidth="1"/>
    <col min="6153" max="6153" width="17.28515625" style="23" customWidth="1"/>
    <col min="6154" max="6154" width="29.85546875" style="23" bestFit="1" customWidth="1"/>
    <col min="6155" max="6155" width="31.140625" style="23" customWidth="1"/>
    <col min="6156" max="6156" width="21.85546875" style="23" customWidth="1"/>
    <col min="6157" max="6157" width="14.140625" style="23" customWidth="1"/>
    <col min="6158" max="6158" width="25.7109375" style="23" customWidth="1"/>
    <col min="6159" max="6159" width="26.7109375" style="23" customWidth="1"/>
    <col min="6160" max="6160" width="58.42578125" style="23" bestFit="1" customWidth="1"/>
    <col min="6161" max="6161" width="12.42578125" style="23" customWidth="1"/>
    <col min="6162" max="6162" width="19.28515625" style="23" customWidth="1"/>
    <col min="6163" max="6163" width="16.5703125" style="23" customWidth="1"/>
    <col min="6164" max="6164" width="29" style="23" customWidth="1"/>
    <col min="6165" max="6165" width="17.28515625" style="23" customWidth="1"/>
    <col min="6166" max="6166" width="13.85546875" style="23" customWidth="1"/>
    <col min="6167" max="6167" width="12.7109375" style="23" customWidth="1"/>
    <col min="6168" max="6404" width="9" style="23"/>
    <col min="6405" max="6405" width="15.28515625" style="23" customWidth="1"/>
    <col min="6406" max="6406" width="83.140625" style="23" bestFit="1" customWidth="1"/>
    <col min="6407" max="6407" width="22" style="23" customWidth="1"/>
    <col min="6408" max="6408" width="102.140625" style="23" bestFit="1" customWidth="1"/>
    <col min="6409" max="6409" width="17.28515625" style="23" customWidth="1"/>
    <col min="6410" max="6410" width="29.85546875" style="23" bestFit="1" customWidth="1"/>
    <col min="6411" max="6411" width="31.140625" style="23" customWidth="1"/>
    <col min="6412" max="6412" width="21.85546875" style="23" customWidth="1"/>
    <col min="6413" max="6413" width="14.140625" style="23" customWidth="1"/>
    <col min="6414" max="6414" width="25.7109375" style="23" customWidth="1"/>
    <col min="6415" max="6415" width="26.7109375" style="23" customWidth="1"/>
    <col min="6416" max="6416" width="58.42578125" style="23" bestFit="1" customWidth="1"/>
    <col min="6417" max="6417" width="12.42578125" style="23" customWidth="1"/>
    <col min="6418" max="6418" width="19.28515625" style="23" customWidth="1"/>
    <col min="6419" max="6419" width="16.5703125" style="23" customWidth="1"/>
    <col min="6420" max="6420" width="29" style="23" customWidth="1"/>
    <col min="6421" max="6421" width="17.28515625" style="23" customWidth="1"/>
    <col min="6422" max="6422" width="13.85546875" style="23" customWidth="1"/>
    <col min="6423" max="6423" width="12.7109375" style="23" customWidth="1"/>
    <col min="6424" max="6660" width="9" style="23"/>
    <col min="6661" max="6661" width="15.28515625" style="23" customWidth="1"/>
    <col min="6662" max="6662" width="83.140625" style="23" bestFit="1" customWidth="1"/>
    <col min="6663" max="6663" width="22" style="23" customWidth="1"/>
    <col min="6664" max="6664" width="102.140625" style="23" bestFit="1" customWidth="1"/>
    <col min="6665" max="6665" width="17.28515625" style="23" customWidth="1"/>
    <col min="6666" max="6666" width="29.85546875" style="23" bestFit="1" customWidth="1"/>
    <col min="6667" max="6667" width="31.140625" style="23" customWidth="1"/>
    <col min="6668" max="6668" width="21.85546875" style="23" customWidth="1"/>
    <col min="6669" max="6669" width="14.140625" style="23" customWidth="1"/>
    <col min="6670" max="6670" width="25.7109375" style="23" customWidth="1"/>
    <col min="6671" max="6671" width="26.7109375" style="23" customWidth="1"/>
    <col min="6672" max="6672" width="58.42578125" style="23" bestFit="1" customWidth="1"/>
    <col min="6673" max="6673" width="12.42578125" style="23" customWidth="1"/>
    <col min="6674" max="6674" width="19.28515625" style="23" customWidth="1"/>
    <col min="6675" max="6675" width="16.5703125" style="23" customWidth="1"/>
    <col min="6676" max="6676" width="29" style="23" customWidth="1"/>
    <col min="6677" max="6677" width="17.28515625" style="23" customWidth="1"/>
    <col min="6678" max="6678" width="13.85546875" style="23" customWidth="1"/>
    <col min="6679" max="6679" width="12.7109375" style="23" customWidth="1"/>
    <col min="6680" max="6916" width="9" style="23"/>
    <col min="6917" max="6917" width="15.28515625" style="23" customWidth="1"/>
    <col min="6918" max="6918" width="83.140625" style="23" bestFit="1" customWidth="1"/>
    <col min="6919" max="6919" width="22" style="23" customWidth="1"/>
    <col min="6920" max="6920" width="102.140625" style="23" bestFit="1" customWidth="1"/>
    <col min="6921" max="6921" width="17.28515625" style="23" customWidth="1"/>
    <col min="6922" max="6922" width="29.85546875" style="23" bestFit="1" customWidth="1"/>
    <col min="6923" max="6923" width="31.140625" style="23" customWidth="1"/>
    <col min="6924" max="6924" width="21.85546875" style="23" customWidth="1"/>
    <col min="6925" max="6925" width="14.140625" style="23" customWidth="1"/>
    <col min="6926" max="6926" width="25.7109375" style="23" customWidth="1"/>
    <col min="6927" max="6927" width="26.7109375" style="23" customWidth="1"/>
    <col min="6928" max="6928" width="58.42578125" style="23" bestFit="1" customWidth="1"/>
    <col min="6929" max="6929" width="12.42578125" style="23" customWidth="1"/>
    <col min="6930" max="6930" width="19.28515625" style="23" customWidth="1"/>
    <col min="6931" max="6931" width="16.5703125" style="23" customWidth="1"/>
    <col min="6932" max="6932" width="29" style="23" customWidth="1"/>
    <col min="6933" max="6933" width="17.28515625" style="23" customWidth="1"/>
    <col min="6934" max="6934" width="13.85546875" style="23" customWidth="1"/>
    <col min="6935" max="6935" width="12.7109375" style="23" customWidth="1"/>
    <col min="6936" max="7172" width="9" style="23"/>
    <col min="7173" max="7173" width="15.28515625" style="23" customWidth="1"/>
    <col min="7174" max="7174" width="83.140625" style="23" bestFit="1" customWidth="1"/>
    <col min="7175" max="7175" width="22" style="23" customWidth="1"/>
    <col min="7176" max="7176" width="102.140625" style="23" bestFit="1" customWidth="1"/>
    <col min="7177" max="7177" width="17.28515625" style="23" customWidth="1"/>
    <col min="7178" max="7178" width="29.85546875" style="23" bestFit="1" customWidth="1"/>
    <col min="7179" max="7179" width="31.140625" style="23" customWidth="1"/>
    <col min="7180" max="7180" width="21.85546875" style="23" customWidth="1"/>
    <col min="7181" max="7181" width="14.140625" style="23" customWidth="1"/>
    <col min="7182" max="7182" width="25.7109375" style="23" customWidth="1"/>
    <col min="7183" max="7183" width="26.7109375" style="23" customWidth="1"/>
    <col min="7184" max="7184" width="58.42578125" style="23" bestFit="1" customWidth="1"/>
    <col min="7185" max="7185" width="12.42578125" style="23" customWidth="1"/>
    <col min="7186" max="7186" width="19.28515625" style="23" customWidth="1"/>
    <col min="7187" max="7187" width="16.5703125" style="23" customWidth="1"/>
    <col min="7188" max="7188" width="29" style="23" customWidth="1"/>
    <col min="7189" max="7189" width="17.28515625" style="23" customWidth="1"/>
    <col min="7190" max="7190" width="13.85546875" style="23" customWidth="1"/>
    <col min="7191" max="7191" width="12.7109375" style="23" customWidth="1"/>
    <col min="7192" max="7428" width="9" style="23"/>
    <col min="7429" max="7429" width="15.28515625" style="23" customWidth="1"/>
    <col min="7430" max="7430" width="83.140625" style="23" bestFit="1" customWidth="1"/>
    <col min="7431" max="7431" width="22" style="23" customWidth="1"/>
    <col min="7432" max="7432" width="102.140625" style="23" bestFit="1" customWidth="1"/>
    <col min="7433" max="7433" width="17.28515625" style="23" customWidth="1"/>
    <col min="7434" max="7434" width="29.85546875" style="23" bestFit="1" customWidth="1"/>
    <col min="7435" max="7435" width="31.140625" style="23" customWidth="1"/>
    <col min="7436" max="7436" width="21.85546875" style="23" customWidth="1"/>
    <col min="7437" max="7437" width="14.140625" style="23" customWidth="1"/>
    <col min="7438" max="7438" width="25.7109375" style="23" customWidth="1"/>
    <col min="7439" max="7439" width="26.7109375" style="23" customWidth="1"/>
    <col min="7440" max="7440" width="58.42578125" style="23" bestFit="1" customWidth="1"/>
    <col min="7441" max="7441" width="12.42578125" style="23" customWidth="1"/>
    <col min="7442" max="7442" width="19.28515625" style="23" customWidth="1"/>
    <col min="7443" max="7443" width="16.5703125" style="23" customWidth="1"/>
    <col min="7444" max="7444" width="29" style="23" customWidth="1"/>
    <col min="7445" max="7445" width="17.28515625" style="23" customWidth="1"/>
    <col min="7446" max="7446" width="13.85546875" style="23" customWidth="1"/>
    <col min="7447" max="7447" width="12.7109375" style="23" customWidth="1"/>
    <col min="7448" max="7684" width="9" style="23"/>
    <col min="7685" max="7685" width="15.28515625" style="23" customWidth="1"/>
    <col min="7686" max="7686" width="83.140625" style="23" bestFit="1" customWidth="1"/>
    <col min="7687" max="7687" width="22" style="23" customWidth="1"/>
    <col min="7688" max="7688" width="102.140625" style="23" bestFit="1" customWidth="1"/>
    <col min="7689" max="7689" width="17.28515625" style="23" customWidth="1"/>
    <col min="7690" max="7690" width="29.85546875" style="23" bestFit="1" customWidth="1"/>
    <col min="7691" max="7691" width="31.140625" style="23" customWidth="1"/>
    <col min="7692" max="7692" width="21.85546875" style="23" customWidth="1"/>
    <col min="7693" max="7693" width="14.140625" style="23" customWidth="1"/>
    <col min="7694" max="7694" width="25.7109375" style="23" customWidth="1"/>
    <col min="7695" max="7695" width="26.7109375" style="23" customWidth="1"/>
    <col min="7696" max="7696" width="58.42578125" style="23" bestFit="1" customWidth="1"/>
    <col min="7697" max="7697" width="12.42578125" style="23" customWidth="1"/>
    <col min="7698" max="7698" width="19.28515625" style="23" customWidth="1"/>
    <col min="7699" max="7699" width="16.5703125" style="23" customWidth="1"/>
    <col min="7700" max="7700" width="29" style="23" customWidth="1"/>
    <col min="7701" max="7701" width="17.28515625" style="23" customWidth="1"/>
    <col min="7702" max="7702" width="13.85546875" style="23" customWidth="1"/>
    <col min="7703" max="7703" width="12.7109375" style="23" customWidth="1"/>
    <col min="7704" max="7940" width="9" style="23"/>
    <col min="7941" max="7941" width="15.28515625" style="23" customWidth="1"/>
    <col min="7942" max="7942" width="83.140625" style="23" bestFit="1" customWidth="1"/>
    <col min="7943" max="7943" width="22" style="23" customWidth="1"/>
    <col min="7944" max="7944" width="102.140625" style="23" bestFit="1" customWidth="1"/>
    <col min="7945" max="7945" width="17.28515625" style="23" customWidth="1"/>
    <col min="7946" max="7946" width="29.85546875" style="23" bestFit="1" customWidth="1"/>
    <col min="7947" max="7947" width="31.140625" style="23" customWidth="1"/>
    <col min="7948" max="7948" width="21.85546875" style="23" customWidth="1"/>
    <col min="7949" max="7949" width="14.140625" style="23" customWidth="1"/>
    <col min="7950" max="7950" width="25.7109375" style="23" customWidth="1"/>
    <col min="7951" max="7951" width="26.7109375" style="23" customWidth="1"/>
    <col min="7952" max="7952" width="58.42578125" style="23" bestFit="1" customWidth="1"/>
    <col min="7953" max="7953" width="12.42578125" style="23" customWidth="1"/>
    <col min="7954" max="7954" width="19.28515625" style="23" customWidth="1"/>
    <col min="7955" max="7955" width="16.5703125" style="23" customWidth="1"/>
    <col min="7956" max="7956" width="29" style="23" customWidth="1"/>
    <col min="7957" max="7957" width="17.28515625" style="23" customWidth="1"/>
    <col min="7958" max="7958" width="13.85546875" style="23" customWidth="1"/>
    <col min="7959" max="7959" width="12.7109375" style="23" customWidth="1"/>
    <col min="7960" max="8196" width="9" style="23"/>
    <col min="8197" max="8197" width="15.28515625" style="23" customWidth="1"/>
    <col min="8198" max="8198" width="83.140625" style="23" bestFit="1" customWidth="1"/>
    <col min="8199" max="8199" width="22" style="23" customWidth="1"/>
    <col min="8200" max="8200" width="102.140625" style="23" bestFit="1" customWidth="1"/>
    <col min="8201" max="8201" width="17.28515625" style="23" customWidth="1"/>
    <col min="8202" max="8202" width="29.85546875" style="23" bestFit="1" customWidth="1"/>
    <col min="8203" max="8203" width="31.140625" style="23" customWidth="1"/>
    <col min="8204" max="8204" width="21.85546875" style="23" customWidth="1"/>
    <col min="8205" max="8205" width="14.140625" style="23" customWidth="1"/>
    <col min="8206" max="8206" width="25.7109375" style="23" customWidth="1"/>
    <col min="8207" max="8207" width="26.7109375" style="23" customWidth="1"/>
    <col min="8208" max="8208" width="58.42578125" style="23" bestFit="1" customWidth="1"/>
    <col min="8209" max="8209" width="12.42578125" style="23" customWidth="1"/>
    <col min="8210" max="8210" width="19.28515625" style="23" customWidth="1"/>
    <col min="8211" max="8211" width="16.5703125" style="23" customWidth="1"/>
    <col min="8212" max="8212" width="29" style="23" customWidth="1"/>
    <col min="8213" max="8213" width="17.28515625" style="23" customWidth="1"/>
    <col min="8214" max="8214" width="13.85546875" style="23" customWidth="1"/>
    <col min="8215" max="8215" width="12.7109375" style="23" customWidth="1"/>
    <col min="8216" max="8452" width="9" style="23"/>
    <col min="8453" max="8453" width="15.28515625" style="23" customWidth="1"/>
    <col min="8454" max="8454" width="83.140625" style="23" bestFit="1" customWidth="1"/>
    <col min="8455" max="8455" width="22" style="23" customWidth="1"/>
    <col min="8456" max="8456" width="102.140625" style="23" bestFit="1" customWidth="1"/>
    <col min="8457" max="8457" width="17.28515625" style="23" customWidth="1"/>
    <col min="8458" max="8458" width="29.85546875" style="23" bestFit="1" customWidth="1"/>
    <col min="8459" max="8459" width="31.140625" style="23" customWidth="1"/>
    <col min="8460" max="8460" width="21.85546875" style="23" customWidth="1"/>
    <col min="8461" max="8461" width="14.140625" style="23" customWidth="1"/>
    <col min="8462" max="8462" width="25.7109375" style="23" customWidth="1"/>
    <col min="8463" max="8463" width="26.7109375" style="23" customWidth="1"/>
    <col min="8464" max="8464" width="58.42578125" style="23" bestFit="1" customWidth="1"/>
    <col min="8465" max="8465" width="12.42578125" style="23" customWidth="1"/>
    <col min="8466" max="8466" width="19.28515625" style="23" customWidth="1"/>
    <col min="8467" max="8467" width="16.5703125" style="23" customWidth="1"/>
    <col min="8468" max="8468" width="29" style="23" customWidth="1"/>
    <col min="8469" max="8469" width="17.28515625" style="23" customWidth="1"/>
    <col min="8470" max="8470" width="13.85546875" style="23" customWidth="1"/>
    <col min="8471" max="8471" width="12.7109375" style="23" customWidth="1"/>
    <col min="8472" max="8708" width="9" style="23"/>
    <col min="8709" max="8709" width="15.28515625" style="23" customWidth="1"/>
    <col min="8710" max="8710" width="83.140625" style="23" bestFit="1" customWidth="1"/>
    <col min="8711" max="8711" width="22" style="23" customWidth="1"/>
    <col min="8712" max="8712" width="102.140625" style="23" bestFit="1" customWidth="1"/>
    <col min="8713" max="8713" width="17.28515625" style="23" customWidth="1"/>
    <col min="8714" max="8714" width="29.85546875" style="23" bestFit="1" customWidth="1"/>
    <col min="8715" max="8715" width="31.140625" style="23" customWidth="1"/>
    <col min="8716" max="8716" width="21.85546875" style="23" customWidth="1"/>
    <col min="8717" max="8717" width="14.140625" style="23" customWidth="1"/>
    <col min="8718" max="8718" width="25.7109375" style="23" customWidth="1"/>
    <col min="8719" max="8719" width="26.7109375" style="23" customWidth="1"/>
    <col min="8720" max="8720" width="58.42578125" style="23" bestFit="1" customWidth="1"/>
    <col min="8721" max="8721" width="12.42578125" style="23" customWidth="1"/>
    <col min="8722" max="8722" width="19.28515625" style="23" customWidth="1"/>
    <col min="8723" max="8723" width="16.5703125" style="23" customWidth="1"/>
    <col min="8724" max="8724" width="29" style="23" customWidth="1"/>
    <col min="8725" max="8725" width="17.28515625" style="23" customWidth="1"/>
    <col min="8726" max="8726" width="13.85546875" style="23" customWidth="1"/>
    <col min="8727" max="8727" width="12.7109375" style="23" customWidth="1"/>
    <col min="8728" max="8964" width="9" style="23"/>
    <col min="8965" max="8965" width="15.28515625" style="23" customWidth="1"/>
    <col min="8966" max="8966" width="83.140625" style="23" bestFit="1" customWidth="1"/>
    <col min="8967" max="8967" width="22" style="23" customWidth="1"/>
    <col min="8968" max="8968" width="102.140625" style="23" bestFit="1" customWidth="1"/>
    <col min="8969" max="8969" width="17.28515625" style="23" customWidth="1"/>
    <col min="8970" max="8970" width="29.85546875" style="23" bestFit="1" customWidth="1"/>
    <col min="8971" max="8971" width="31.140625" style="23" customWidth="1"/>
    <col min="8972" max="8972" width="21.85546875" style="23" customWidth="1"/>
    <col min="8973" max="8973" width="14.140625" style="23" customWidth="1"/>
    <col min="8974" max="8974" width="25.7109375" style="23" customWidth="1"/>
    <col min="8975" max="8975" width="26.7109375" style="23" customWidth="1"/>
    <col min="8976" max="8976" width="58.42578125" style="23" bestFit="1" customWidth="1"/>
    <col min="8977" max="8977" width="12.42578125" style="23" customWidth="1"/>
    <col min="8978" max="8978" width="19.28515625" style="23" customWidth="1"/>
    <col min="8979" max="8979" width="16.5703125" style="23" customWidth="1"/>
    <col min="8980" max="8980" width="29" style="23" customWidth="1"/>
    <col min="8981" max="8981" width="17.28515625" style="23" customWidth="1"/>
    <col min="8982" max="8982" width="13.85546875" style="23" customWidth="1"/>
    <col min="8983" max="8983" width="12.7109375" style="23" customWidth="1"/>
    <col min="8984" max="9220" width="9" style="23"/>
    <col min="9221" max="9221" width="15.28515625" style="23" customWidth="1"/>
    <col min="9222" max="9222" width="83.140625" style="23" bestFit="1" customWidth="1"/>
    <col min="9223" max="9223" width="22" style="23" customWidth="1"/>
    <col min="9224" max="9224" width="102.140625" style="23" bestFit="1" customWidth="1"/>
    <col min="9225" max="9225" width="17.28515625" style="23" customWidth="1"/>
    <col min="9226" max="9226" width="29.85546875" style="23" bestFit="1" customWidth="1"/>
    <col min="9227" max="9227" width="31.140625" style="23" customWidth="1"/>
    <col min="9228" max="9228" width="21.85546875" style="23" customWidth="1"/>
    <col min="9229" max="9229" width="14.140625" style="23" customWidth="1"/>
    <col min="9230" max="9230" width="25.7109375" style="23" customWidth="1"/>
    <col min="9231" max="9231" width="26.7109375" style="23" customWidth="1"/>
    <col min="9232" max="9232" width="58.42578125" style="23" bestFit="1" customWidth="1"/>
    <col min="9233" max="9233" width="12.42578125" style="23" customWidth="1"/>
    <col min="9234" max="9234" width="19.28515625" style="23" customWidth="1"/>
    <col min="9235" max="9235" width="16.5703125" style="23" customWidth="1"/>
    <col min="9236" max="9236" width="29" style="23" customWidth="1"/>
    <col min="9237" max="9237" width="17.28515625" style="23" customWidth="1"/>
    <col min="9238" max="9238" width="13.85546875" style="23" customWidth="1"/>
    <col min="9239" max="9239" width="12.7109375" style="23" customWidth="1"/>
    <col min="9240" max="9476" width="9" style="23"/>
    <col min="9477" max="9477" width="15.28515625" style="23" customWidth="1"/>
    <col min="9478" max="9478" width="83.140625" style="23" bestFit="1" customWidth="1"/>
    <col min="9479" max="9479" width="22" style="23" customWidth="1"/>
    <col min="9480" max="9480" width="102.140625" style="23" bestFit="1" customWidth="1"/>
    <col min="9481" max="9481" width="17.28515625" style="23" customWidth="1"/>
    <col min="9482" max="9482" width="29.85546875" style="23" bestFit="1" customWidth="1"/>
    <col min="9483" max="9483" width="31.140625" style="23" customWidth="1"/>
    <col min="9484" max="9484" width="21.85546875" style="23" customWidth="1"/>
    <col min="9485" max="9485" width="14.140625" style="23" customWidth="1"/>
    <col min="9486" max="9486" width="25.7109375" style="23" customWidth="1"/>
    <col min="9487" max="9487" width="26.7109375" style="23" customWidth="1"/>
    <col min="9488" max="9488" width="58.42578125" style="23" bestFit="1" customWidth="1"/>
    <col min="9489" max="9489" width="12.42578125" style="23" customWidth="1"/>
    <col min="9490" max="9490" width="19.28515625" style="23" customWidth="1"/>
    <col min="9491" max="9491" width="16.5703125" style="23" customWidth="1"/>
    <col min="9492" max="9492" width="29" style="23" customWidth="1"/>
    <col min="9493" max="9493" width="17.28515625" style="23" customWidth="1"/>
    <col min="9494" max="9494" width="13.85546875" style="23" customWidth="1"/>
    <col min="9495" max="9495" width="12.7109375" style="23" customWidth="1"/>
    <col min="9496" max="9732" width="9" style="23"/>
    <col min="9733" max="9733" width="15.28515625" style="23" customWidth="1"/>
    <col min="9734" max="9734" width="83.140625" style="23" bestFit="1" customWidth="1"/>
    <col min="9735" max="9735" width="22" style="23" customWidth="1"/>
    <col min="9736" max="9736" width="102.140625" style="23" bestFit="1" customWidth="1"/>
    <col min="9737" max="9737" width="17.28515625" style="23" customWidth="1"/>
    <col min="9738" max="9738" width="29.85546875" style="23" bestFit="1" customWidth="1"/>
    <col min="9739" max="9739" width="31.140625" style="23" customWidth="1"/>
    <col min="9740" max="9740" width="21.85546875" style="23" customWidth="1"/>
    <col min="9741" max="9741" width="14.140625" style="23" customWidth="1"/>
    <col min="9742" max="9742" width="25.7109375" style="23" customWidth="1"/>
    <col min="9743" max="9743" width="26.7109375" style="23" customWidth="1"/>
    <col min="9744" max="9744" width="58.42578125" style="23" bestFit="1" customWidth="1"/>
    <col min="9745" max="9745" width="12.42578125" style="23" customWidth="1"/>
    <col min="9746" max="9746" width="19.28515625" style="23" customWidth="1"/>
    <col min="9747" max="9747" width="16.5703125" style="23" customWidth="1"/>
    <col min="9748" max="9748" width="29" style="23" customWidth="1"/>
    <col min="9749" max="9749" width="17.28515625" style="23" customWidth="1"/>
    <col min="9750" max="9750" width="13.85546875" style="23" customWidth="1"/>
    <col min="9751" max="9751" width="12.7109375" style="23" customWidth="1"/>
    <col min="9752" max="9988" width="9" style="23"/>
    <col min="9989" max="9989" width="15.28515625" style="23" customWidth="1"/>
    <col min="9990" max="9990" width="83.140625" style="23" bestFit="1" customWidth="1"/>
    <col min="9991" max="9991" width="22" style="23" customWidth="1"/>
    <col min="9992" max="9992" width="102.140625" style="23" bestFit="1" customWidth="1"/>
    <col min="9993" max="9993" width="17.28515625" style="23" customWidth="1"/>
    <col min="9994" max="9994" width="29.85546875" style="23" bestFit="1" customWidth="1"/>
    <col min="9995" max="9995" width="31.140625" style="23" customWidth="1"/>
    <col min="9996" max="9996" width="21.85546875" style="23" customWidth="1"/>
    <col min="9997" max="9997" width="14.140625" style="23" customWidth="1"/>
    <col min="9998" max="9998" width="25.7109375" style="23" customWidth="1"/>
    <col min="9999" max="9999" width="26.7109375" style="23" customWidth="1"/>
    <col min="10000" max="10000" width="58.42578125" style="23" bestFit="1" customWidth="1"/>
    <col min="10001" max="10001" width="12.42578125" style="23" customWidth="1"/>
    <col min="10002" max="10002" width="19.28515625" style="23" customWidth="1"/>
    <col min="10003" max="10003" width="16.5703125" style="23" customWidth="1"/>
    <col min="10004" max="10004" width="29" style="23" customWidth="1"/>
    <col min="10005" max="10005" width="17.28515625" style="23" customWidth="1"/>
    <col min="10006" max="10006" width="13.85546875" style="23" customWidth="1"/>
    <col min="10007" max="10007" width="12.7109375" style="23" customWidth="1"/>
    <col min="10008" max="10244" width="9" style="23"/>
    <col min="10245" max="10245" width="15.28515625" style="23" customWidth="1"/>
    <col min="10246" max="10246" width="83.140625" style="23" bestFit="1" customWidth="1"/>
    <col min="10247" max="10247" width="22" style="23" customWidth="1"/>
    <col min="10248" max="10248" width="102.140625" style="23" bestFit="1" customWidth="1"/>
    <col min="10249" max="10249" width="17.28515625" style="23" customWidth="1"/>
    <col min="10250" max="10250" width="29.85546875" style="23" bestFit="1" customWidth="1"/>
    <col min="10251" max="10251" width="31.140625" style="23" customWidth="1"/>
    <col min="10252" max="10252" width="21.85546875" style="23" customWidth="1"/>
    <col min="10253" max="10253" width="14.140625" style="23" customWidth="1"/>
    <col min="10254" max="10254" width="25.7109375" style="23" customWidth="1"/>
    <col min="10255" max="10255" width="26.7109375" style="23" customWidth="1"/>
    <col min="10256" max="10256" width="58.42578125" style="23" bestFit="1" customWidth="1"/>
    <col min="10257" max="10257" width="12.42578125" style="23" customWidth="1"/>
    <col min="10258" max="10258" width="19.28515625" style="23" customWidth="1"/>
    <col min="10259" max="10259" width="16.5703125" style="23" customWidth="1"/>
    <col min="10260" max="10260" width="29" style="23" customWidth="1"/>
    <col min="10261" max="10261" width="17.28515625" style="23" customWidth="1"/>
    <col min="10262" max="10262" width="13.85546875" style="23" customWidth="1"/>
    <col min="10263" max="10263" width="12.7109375" style="23" customWidth="1"/>
    <col min="10264" max="10500" width="9" style="23"/>
    <col min="10501" max="10501" width="15.28515625" style="23" customWidth="1"/>
    <col min="10502" max="10502" width="83.140625" style="23" bestFit="1" customWidth="1"/>
    <col min="10503" max="10503" width="22" style="23" customWidth="1"/>
    <col min="10504" max="10504" width="102.140625" style="23" bestFit="1" customWidth="1"/>
    <col min="10505" max="10505" width="17.28515625" style="23" customWidth="1"/>
    <col min="10506" max="10506" width="29.85546875" style="23" bestFit="1" customWidth="1"/>
    <col min="10507" max="10507" width="31.140625" style="23" customWidth="1"/>
    <col min="10508" max="10508" width="21.85546875" style="23" customWidth="1"/>
    <col min="10509" max="10509" width="14.140625" style="23" customWidth="1"/>
    <col min="10510" max="10510" width="25.7109375" style="23" customWidth="1"/>
    <col min="10511" max="10511" width="26.7109375" style="23" customWidth="1"/>
    <col min="10512" max="10512" width="58.42578125" style="23" bestFit="1" customWidth="1"/>
    <col min="10513" max="10513" width="12.42578125" style="23" customWidth="1"/>
    <col min="10514" max="10514" width="19.28515625" style="23" customWidth="1"/>
    <col min="10515" max="10515" width="16.5703125" style="23" customWidth="1"/>
    <col min="10516" max="10516" width="29" style="23" customWidth="1"/>
    <col min="10517" max="10517" width="17.28515625" style="23" customWidth="1"/>
    <col min="10518" max="10518" width="13.85546875" style="23" customWidth="1"/>
    <col min="10519" max="10519" width="12.7109375" style="23" customWidth="1"/>
    <col min="10520" max="10756" width="9" style="23"/>
    <col min="10757" max="10757" width="15.28515625" style="23" customWidth="1"/>
    <col min="10758" max="10758" width="83.140625" style="23" bestFit="1" customWidth="1"/>
    <col min="10759" max="10759" width="22" style="23" customWidth="1"/>
    <col min="10760" max="10760" width="102.140625" style="23" bestFit="1" customWidth="1"/>
    <col min="10761" max="10761" width="17.28515625" style="23" customWidth="1"/>
    <col min="10762" max="10762" width="29.85546875" style="23" bestFit="1" customWidth="1"/>
    <col min="10763" max="10763" width="31.140625" style="23" customWidth="1"/>
    <col min="10764" max="10764" width="21.85546875" style="23" customWidth="1"/>
    <col min="10765" max="10765" width="14.140625" style="23" customWidth="1"/>
    <col min="10766" max="10766" width="25.7109375" style="23" customWidth="1"/>
    <col min="10767" max="10767" width="26.7109375" style="23" customWidth="1"/>
    <col min="10768" max="10768" width="58.42578125" style="23" bestFit="1" customWidth="1"/>
    <col min="10769" max="10769" width="12.42578125" style="23" customWidth="1"/>
    <col min="10770" max="10770" width="19.28515625" style="23" customWidth="1"/>
    <col min="10771" max="10771" width="16.5703125" style="23" customWidth="1"/>
    <col min="10772" max="10772" width="29" style="23" customWidth="1"/>
    <col min="10773" max="10773" width="17.28515625" style="23" customWidth="1"/>
    <col min="10774" max="10774" width="13.85546875" style="23" customWidth="1"/>
    <col min="10775" max="10775" width="12.7109375" style="23" customWidth="1"/>
    <col min="10776" max="11012" width="9" style="23"/>
    <col min="11013" max="11013" width="15.28515625" style="23" customWidth="1"/>
    <col min="11014" max="11014" width="83.140625" style="23" bestFit="1" customWidth="1"/>
    <col min="11015" max="11015" width="22" style="23" customWidth="1"/>
    <col min="11016" max="11016" width="102.140625" style="23" bestFit="1" customWidth="1"/>
    <col min="11017" max="11017" width="17.28515625" style="23" customWidth="1"/>
    <col min="11018" max="11018" width="29.85546875" style="23" bestFit="1" customWidth="1"/>
    <col min="11019" max="11019" width="31.140625" style="23" customWidth="1"/>
    <col min="11020" max="11020" width="21.85546875" style="23" customWidth="1"/>
    <col min="11021" max="11021" width="14.140625" style="23" customWidth="1"/>
    <col min="11022" max="11022" width="25.7109375" style="23" customWidth="1"/>
    <col min="11023" max="11023" width="26.7109375" style="23" customWidth="1"/>
    <col min="11024" max="11024" width="58.42578125" style="23" bestFit="1" customWidth="1"/>
    <col min="11025" max="11025" width="12.42578125" style="23" customWidth="1"/>
    <col min="11026" max="11026" width="19.28515625" style="23" customWidth="1"/>
    <col min="11027" max="11027" width="16.5703125" style="23" customWidth="1"/>
    <col min="11028" max="11028" width="29" style="23" customWidth="1"/>
    <col min="11029" max="11029" width="17.28515625" style="23" customWidth="1"/>
    <col min="11030" max="11030" width="13.85546875" style="23" customWidth="1"/>
    <col min="11031" max="11031" width="12.7109375" style="23" customWidth="1"/>
    <col min="11032" max="11268" width="9" style="23"/>
    <col min="11269" max="11269" width="15.28515625" style="23" customWidth="1"/>
    <col min="11270" max="11270" width="83.140625" style="23" bestFit="1" customWidth="1"/>
    <col min="11271" max="11271" width="22" style="23" customWidth="1"/>
    <col min="11272" max="11272" width="102.140625" style="23" bestFit="1" customWidth="1"/>
    <col min="11273" max="11273" width="17.28515625" style="23" customWidth="1"/>
    <col min="11274" max="11274" width="29.85546875" style="23" bestFit="1" customWidth="1"/>
    <col min="11275" max="11275" width="31.140625" style="23" customWidth="1"/>
    <col min="11276" max="11276" width="21.85546875" style="23" customWidth="1"/>
    <col min="11277" max="11277" width="14.140625" style="23" customWidth="1"/>
    <col min="11278" max="11278" width="25.7109375" style="23" customWidth="1"/>
    <col min="11279" max="11279" width="26.7109375" style="23" customWidth="1"/>
    <col min="11280" max="11280" width="58.42578125" style="23" bestFit="1" customWidth="1"/>
    <col min="11281" max="11281" width="12.42578125" style="23" customWidth="1"/>
    <col min="11282" max="11282" width="19.28515625" style="23" customWidth="1"/>
    <col min="11283" max="11283" width="16.5703125" style="23" customWidth="1"/>
    <col min="11284" max="11284" width="29" style="23" customWidth="1"/>
    <col min="11285" max="11285" width="17.28515625" style="23" customWidth="1"/>
    <col min="11286" max="11286" width="13.85546875" style="23" customWidth="1"/>
    <col min="11287" max="11287" width="12.7109375" style="23" customWidth="1"/>
    <col min="11288" max="11524" width="9" style="23"/>
    <col min="11525" max="11525" width="15.28515625" style="23" customWidth="1"/>
    <col min="11526" max="11526" width="83.140625" style="23" bestFit="1" customWidth="1"/>
    <col min="11527" max="11527" width="22" style="23" customWidth="1"/>
    <col min="11528" max="11528" width="102.140625" style="23" bestFit="1" customWidth="1"/>
    <col min="11529" max="11529" width="17.28515625" style="23" customWidth="1"/>
    <col min="11530" max="11530" width="29.85546875" style="23" bestFit="1" customWidth="1"/>
    <col min="11531" max="11531" width="31.140625" style="23" customWidth="1"/>
    <col min="11532" max="11532" width="21.85546875" style="23" customWidth="1"/>
    <col min="11533" max="11533" width="14.140625" style="23" customWidth="1"/>
    <col min="11534" max="11534" width="25.7109375" style="23" customWidth="1"/>
    <col min="11535" max="11535" width="26.7109375" style="23" customWidth="1"/>
    <col min="11536" max="11536" width="58.42578125" style="23" bestFit="1" customWidth="1"/>
    <col min="11537" max="11537" width="12.42578125" style="23" customWidth="1"/>
    <col min="11538" max="11538" width="19.28515625" style="23" customWidth="1"/>
    <col min="11539" max="11539" width="16.5703125" style="23" customWidth="1"/>
    <col min="11540" max="11540" width="29" style="23" customWidth="1"/>
    <col min="11541" max="11541" width="17.28515625" style="23" customWidth="1"/>
    <col min="11542" max="11542" width="13.85546875" style="23" customWidth="1"/>
    <col min="11543" max="11543" width="12.7109375" style="23" customWidth="1"/>
    <col min="11544" max="11780" width="9" style="23"/>
    <col min="11781" max="11781" width="15.28515625" style="23" customWidth="1"/>
    <col min="11782" max="11782" width="83.140625" style="23" bestFit="1" customWidth="1"/>
    <col min="11783" max="11783" width="22" style="23" customWidth="1"/>
    <col min="11784" max="11784" width="102.140625" style="23" bestFit="1" customWidth="1"/>
    <col min="11785" max="11785" width="17.28515625" style="23" customWidth="1"/>
    <col min="11786" max="11786" width="29.85546875" style="23" bestFit="1" customWidth="1"/>
    <col min="11787" max="11787" width="31.140625" style="23" customWidth="1"/>
    <col min="11788" max="11788" width="21.85546875" style="23" customWidth="1"/>
    <col min="11789" max="11789" width="14.140625" style="23" customWidth="1"/>
    <col min="11790" max="11790" width="25.7109375" style="23" customWidth="1"/>
    <col min="11791" max="11791" width="26.7109375" style="23" customWidth="1"/>
    <col min="11792" max="11792" width="58.42578125" style="23" bestFit="1" customWidth="1"/>
    <col min="11793" max="11793" width="12.42578125" style="23" customWidth="1"/>
    <col min="11794" max="11794" width="19.28515625" style="23" customWidth="1"/>
    <col min="11795" max="11795" width="16.5703125" style="23" customWidth="1"/>
    <col min="11796" max="11796" width="29" style="23" customWidth="1"/>
    <col min="11797" max="11797" width="17.28515625" style="23" customWidth="1"/>
    <col min="11798" max="11798" width="13.85546875" style="23" customWidth="1"/>
    <col min="11799" max="11799" width="12.7109375" style="23" customWidth="1"/>
    <col min="11800" max="12036" width="9" style="23"/>
    <col min="12037" max="12037" width="15.28515625" style="23" customWidth="1"/>
    <col min="12038" max="12038" width="83.140625" style="23" bestFit="1" customWidth="1"/>
    <col min="12039" max="12039" width="22" style="23" customWidth="1"/>
    <col min="12040" max="12040" width="102.140625" style="23" bestFit="1" customWidth="1"/>
    <col min="12041" max="12041" width="17.28515625" style="23" customWidth="1"/>
    <col min="12042" max="12042" width="29.85546875" style="23" bestFit="1" customWidth="1"/>
    <col min="12043" max="12043" width="31.140625" style="23" customWidth="1"/>
    <col min="12044" max="12044" width="21.85546875" style="23" customWidth="1"/>
    <col min="12045" max="12045" width="14.140625" style="23" customWidth="1"/>
    <col min="12046" max="12046" width="25.7109375" style="23" customWidth="1"/>
    <col min="12047" max="12047" width="26.7109375" style="23" customWidth="1"/>
    <col min="12048" max="12048" width="58.42578125" style="23" bestFit="1" customWidth="1"/>
    <col min="12049" max="12049" width="12.42578125" style="23" customWidth="1"/>
    <col min="12050" max="12050" width="19.28515625" style="23" customWidth="1"/>
    <col min="12051" max="12051" width="16.5703125" style="23" customWidth="1"/>
    <col min="12052" max="12052" width="29" style="23" customWidth="1"/>
    <col min="12053" max="12053" width="17.28515625" style="23" customWidth="1"/>
    <col min="12054" max="12054" width="13.85546875" style="23" customWidth="1"/>
    <col min="12055" max="12055" width="12.7109375" style="23" customWidth="1"/>
    <col min="12056" max="12292" width="9" style="23"/>
    <col min="12293" max="12293" width="15.28515625" style="23" customWidth="1"/>
    <col min="12294" max="12294" width="83.140625" style="23" bestFit="1" customWidth="1"/>
    <col min="12295" max="12295" width="22" style="23" customWidth="1"/>
    <col min="12296" max="12296" width="102.140625" style="23" bestFit="1" customWidth="1"/>
    <col min="12297" max="12297" width="17.28515625" style="23" customWidth="1"/>
    <col min="12298" max="12298" width="29.85546875" style="23" bestFit="1" customWidth="1"/>
    <col min="12299" max="12299" width="31.140625" style="23" customWidth="1"/>
    <col min="12300" max="12300" width="21.85546875" style="23" customWidth="1"/>
    <col min="12301" max="12301" width="14.140625" style="23" customWidth="1"/>
    <col min="12302" max="12302" width="25.7109375" style="23" customWidth="1"/>
    <col min="12303" max="12303" width="26.7109375" style="23" customWidth="1"/>
    <col min="12304" max="12304" width="58.42578125" style="23" bestFit="1" customWidth="1"/>
    <col min="12305" max="12305" width="12.42578125" style="23" customWidth="1"/>
    <col min="12306" max="12306" width="19.28515625" style="23" customWidth="1"/>
    <col min="12307" max="12307" width="16.5703125" style="23" customWidth="1"/>
    <col min="12308" max="12308" width="29" style="23" customWidth="1"/>
    <col min="12309" max="12309" width="17.28515625" style="23" customWidth="1"/>
    <col min="12310" max="12310" width="13.85546875" style="23" customWidth="1"/>
    <col min="12311" max="12311" width="12.7109375" style="23" customWidth="1"/>
    <col min="12312" max="12548" width="9" style="23"/>
    <col min="12549" max="12549" width="15.28515625" style="23" customWidth="1"/>
    <col min="12550" max="12550" width="83.140625" style="23" bestFit="1" customWidth="1"/>
    <col min="12551" max="12551" width="22" style="23" customWidth="1"/>
    <col min="12552" max="12552" width="102.140625" style="23" bestFit="1" customWidth="1"/>
    <col min="12553" max="12553" width="17.28515625" style="23" customWidth="1"/>
    <col min="12554" max="12554" width="29.85546875" style="23" bestFit="1" customWidth="1"/>
    <col min="12555" max="12555" width="31.140625" style="23" customWidth="1"/>
    <col min="12556" max="12556" width="21.85546875" style="23" customWidth="1"/>
    <col min="12557" max="12557" width="14.140625" style="23" customWidth="1"/>
    <col min="12558" max="12558" width="25.7109375" style="23" customWidth="1"/>
    <col min="12559" max="12559" width="26.7109375" style="23" customWidth="1"/>
    <col min="12560" max="12560" width="58.42578125" style="23" bestFit="1" customWidth="1"/>
    <col min="12561" max="12561" width="12.42578125" style="23" customWidth="1"/>
    <col min="12562" max="12562" width="19.28515625" style="23" customWidth="1"/>
    <col min="12563" max="12563" width="16.5703125" style="23" customWidth="1"/>
    <col min="12564" max="12564" width="29" style="23" customWidth="1"/>
    <col min="12565" max="12565" width="17.28515625" style="23" customWidth="1"/>
    <col min="12566" max="12566" width="13.85546875" style="23" customWidth="1"/>
    <col min="12567" max="12567" width="12.7109375" style="23" customWidth="1"/>
    <col min="12568" max="12804" width="9" style="23"/>
    <col min="12805" max="12805" width="15.28515625" style="23" customWidth="1"/>
    <col min="12806" max="12806" width="83.140625" style="23" bestFit="1" customWidth="1"/>
    <col min="12807" max="12807" width="22" style="23" customWidth="1"/>
    <col min="12808" max="12808" width="102.140625" style="23" bestFit="1" customWidth="1"/>
    <col min="12809" max="12809" width="17.28515625" style="23" customWidth="1"/>
    <col min="12810" max="12810" width="29.85546875" style="23" bestFit="1" customWidth="1"/>
    <col min="12811" max="12811" width="31.140625" style="23" customWidth="1"/>
    <col min="12812" max="12812" width="21.85546875" style="23" customWidth="1"/>
    <col min="12813" max="12813" width="14.140625" style="23" customWidth="1"/>
    <col min="12814" max="12814" width="25.7109375" style="23" customWidth="1"/>
    <col min="12815" max="12815" width="26.7109375" style="23" customWidth="1"/>
    <col min="12816" max="12816" width="58.42578125" style="23" bestFit="1" customWidth="1"/>
    <col min="12817" max="12817" width="12.42578125" style="23" customWidth="1"/>
    <col min="12818" max="12818" width="19.28515625" style="23" customWidth="1"/>
    <col min="12819" max="12819" width="16.5703125" style="23" customWidth="1"/>
    <col min="12820" max="12820" width="29" style="23" customWidth="1"/>
    <col min="12821" max="12821" width="17.28515625" style="23" customWidth="1"/>
    <col min="12822" max="12822" width="13.85546875" style="23" customWidth="1"/>
    <col min="12823" max="12823" width="12.7109375" style="23" customWidth="1"/>
    <col min="12824" max="13060" width="9" style="23"/>
    <col min="13061" max="13061" width="15.28515625" style="23" customWidth="1"/>
    <col min="13062" max="13062" width="83.140625" style="23" bestFit="1" customWidth="1"/>
    <col min="13063" max="13063" width="22" style="23" customWidth="1"/>
    <col min="13064" max="13064" width="102.140625" style="23" bestFit="1" customWidth="1"/>
    <col min="13065" max="13065" width="17.28515625" style="23" customWidth="1"/>
    <col min="13066" max="13066" width="29.85546875" style="23" bestFit="1" customWidth="1"/>
    <col min="13067" max="13067" width="31.140625" style="23" customWidth="1"/>
    <col min="13068" max="13068" width="21.85546875" style="23" customWidth="1"/>
    <col min="13069" max="13069" width="14.140625" style="23" customWidth="1"/>
    <col min="13070" max="13070" width="25.7109375" style="23" customWidth="1"/>
    <col min="13071" max="13071" width="26.7109375" style="23" customWidth="1"/>
    <col min="13072" max="13072" width="58.42578125" style="23" bestFit="1" customWidth="1"/>
    <col min="13073" max="13073" width="12.42578125" style="23" customWidth="1"/>
    <col min="13074" max="13074" width="19.28515625" style="23" customWidth="1"/>
    <col min="13075" max="13075" width="16.5703125" style="23" customWidth="1"/>
    <col min="13076" max="13076" width="29" style="23" customWidth="1"/>
    <col min="13077" max="13077" width="17.28515625" style="23" customWidth="1"/>
    <col min="13078" max="13078" width="13.85546875" style="23" customWidth="1"/>
    <col min="13079" max="13079" width="12.7109375" style="23" customWidth="1"/>
    <col min="13080" max="13316" width="9" style="23"/>
    <col min="13317" max="13317" width="15.28515625" style="23" customWidth="1"/>
    <col min="13318" max="13318" width="83.140625" style="23" bestFit="1" customWidth="1"/>
    <col min="13319" max="13319" width="22" style="23" customWidth="1"/>
    <col min="13320" max="13320" width="102.140625" style="23" bestFit="1" customWidth="1"/>
    <col min="13321" max="13321" width="17.28515625" style="23" customWidth="1"/>
    <col min="13322" max="13322" width="29.85546875" style="23" bestFit="1" customWidth="1"/>
    <col min="13323" max="13323" width="31.140625" style="23" customWidth="1"/>
    <col min="13324" max="13324" width="21.85546875" style="23" customWidth="1"/>
    <col min="13325" max="13325" width="14.140625" style="23" customWidth="1"/>
    <col min="13326" max="13326" width="25.7109375" style="23" customWidth="1"/>
    <col min="13327" max="13327" width="26.7109375" style="23" customWidth="1"/>
    <col min="13328" max="13328" width="58.42578125" style="23" bestFit="1" customWidth="1"/>
    <col min="13329" max="13329" width="12.42578125" style="23" customWidth="1"/>
    <col min="13330" max="13330" width="19.28515625" style="23" customWidth="1"/>
    <col min="13331" max="13331" width="16.5703125" style="23" customWidth="1"/>
    <col min="13332" max="13332" width="29" style="23" customWidth="1"/>
    <col min="13333" max="13333" width="17.28515625" style="23" customWidth="1"/>
    <col min="13334" max="13334" width="13.85546875" style="23" customWidth="1"/>
    <col min="13335" max="13335" width="12.7109375" style="23" customWidth="1"/>
    <col min="13336" max="13572" width="9" style="23"/>
    <col min="13573" max="13573" width="15.28515625" style="23" customWidth="1"/>
    <col min="13574" max="13574" width="83.140625" style="23" bestFit="1" customWidth="1"/>
    <col min="13575" max="13575" width="22" style="23" customWidth="1"/>
    <col min="13576" max="13576" width="102.140625" style="23" bestFit="1" customWidth="1"/>
    <col min="13577" max="13577" width="17.28515625" style="23" customWidth="1"/>
    <col min="13578" max="13578" width="29.85546875" style="23" bestFit="1" customWidth="1"/>
    <col min="13579" max="13579" width="31.140625" style="23" customWidth="1"/>
    <col min="13580" max="13580" width="21.85546875" style="23" customWidth="1"/>
    <col min="13581" max="13581" width="14.140625" style="23" customWidth="1"/>
    <col min="13582" max="13582" width="25.7109375" style="23" customWidth="1"/>
    <col min="13583" max="13583" width="26.7109375" style="23" customWidth="1"/>
    <col min="13584" max="13584" width="58.42578125" style="23" bestFit="1" customWidth="1"/>
    <col min="13585" max="13585" width="12.42578125" style="23" customWidth="1"/>
    <col min="13586" max="13586" width="19.28515625" style="23" customWidth="1"/>
    <col min="13587" max="13587" width="16.5703125" style="23" customWidth="1"/>
    <col min="13588" max="13588" width="29" style="23" customWidth="1"/>
    <col min="13589" max="13589" width="17.28515625" style="23" customWidth="1"/>
    <col min="13590" max="13590" width="13.85546875" style="23" customWidth="1"/>
    <col min="13591" max="13591" width="12.7109375" style="23" customWidth="1"/>
    <col min="13592" max="13828" width="9" style="23"/>
    <col min="13829" max="13829" width="15.28515625" style="23" customWidth="1"/>
    <col min="13830" max="13830" width="83.140625" style="23" bestFit="1" customWidth="1"/>
    <col min="13831" max="13831" width="22" style="23" customWidth="1"/>
    <col min="13832" max="13832" width="102.140625" style="23" bestFit="1" customWidth="1"/>
    <col min="13833" max="13833" width="17.28515625" style="23" customWidth="1"/>
    <col min="13834" max="13834" width="29.85546875" style="23" bestFit="1" customWidth="1"/>
    <col min="13835" max="13835" width="31.140625" style="23" customWidth="1"/>
    <col min="13836" max="13836" width="21.85546875" style="23" customWidth="1"/>
    <col min="13837" max="13837" width="14.140625" style="23" customWidth="1"/>
    <col min="13838" max="13838" width="25.7109375" style="23" customWidth="1"/>
    <col min="13839" max="13839" width="26.7109375" style="23" customWidth="1"/>
    <col min="13840" max="13840" width="58.42578125" style="23" bestFit="1" customWidth="1"/>
    <col min="13841" max="13841" width="12.42578125" style="23" customWidth="1"/>
    <col min="13842" max="13842" width="19.28515625" style="23" customWidth="1"/>
    <col min="13843" max="13843" width="16.5703125" style="23" customWidth="1"/>
    <col min="13844" max="13844" width="29" style="23" customWidth="1"/>
    <col min="13845" max="13845" width="17.28515625" style="23" customWidth="1"/>
    <col min="13846" max="13846" width="13.85546875" style="23" customWidth="1"/>
    <col min="13847" max="13847" width="12.7109375" style="23" customWidth="1"/>
    <col min="13848" max="14084" width="9" style="23"/>
    <col min="14085" max="14085" width="15.28515625" style="23" customWidth="1"/>
    <col min="14086" max="14086" width="83.140625" style="23" bestFit="1" customWidth="1"/>
    <col min="14087" max="14087" width="22" style="23" customWidth="1"/>
    <col min="14088" max="14088" width="102.140625" style="23" bestFit="1" customWidth="1"/>
    <col min="14089" max="14089" width="17.28515625" style="23" customWidth="1"/>
    <col min="14090" max="14090" width="29.85546875" style="23" bestFit="1" customWidth="1"/>
    <col min="14091" max="14091" width="31.140625" style="23" customWidth="1"/>
    <col min="14092" max="14092" width="21.85546875" style="23" customWidth="1"/>
    <col min="14093" max="14093" width="14.140625" style="23" customWidth="1"/>
    <col min="14094" max="14094" width="25.7109375" style="23" customWidth="1"/>
    <col min="14095" max="14095" width="26.7109375" style="23" customWidth="1"/>
    <col min="14096" max="14096" width="58.42578125" style="23" bestFit="1" customWidth="1"/>
    <col min="14097" max="14097" width="12.42578125" style="23" customWidth="1"/>
    <col min="14098" max="14098" width="19.28515625" style="23" customWidth="1"/>
    <col min="14099" max="14099" width="16.5703125" style="23" customWidth="1"/>
    <col min="14100" max="14100" width="29" style="23" customWidth="1"/>
    <col min="14101" max="14101" width="17.28515625" style="23" customWidth="1"/>
    <col min="14102" max="14102" width="13.85546875" style="23" customWidth="1"/>
    <col min="14103" max="14103" width="12.7109375" style="23" customWidth="1"/>
    <col min="14104" max="14340" width="9" style="23"/>
    <col min="14341" max="14341" width="15.28515625" style="23" customWidth="1"/>
    <col min="14342" max="14342" width="83.140625" style="23" bestFit="1" customWidth="1"/>
    <col min="14343" max="14343" width="22" style="23" customWidth="1"/>
    <col min="14344" max="14344" width="102.140625" style="23" bestFit="1" customWidth="1"/>
    <col min="14345" max="14345" width="17.28515625" style="23" customWidth="1"/>
    <col min="14346" max="14346" width="29.85546875" style="23" bestFit="1" customWidth="1"/>
    <col min="14347" max="14347" width="31.140625" style="23" customWidth="1"/>
    <col min="14348" max="14348" width="21.85546875" style="23" customWidth="1"/>
    <col min="14349" max="14349" width="14.140625" style="23" customWidth="1"/>
    <col min="14350" max="14350" width="25.7109375" style="23" customWidth="1"/>
    <col min="14351" max="14351" width="26.7109375" style="23" customWidth="1"/>
    <col min="14352" max="14352" width="58.42578125" style="23" bestFit="1" customWidth="1"/>
    <col min="14353" max="14353" width="12.42578125" style="23" customWidth="1"/>
    <col min="14354" max="14354" width="19.28515625" style="23" customWidth="1"/>
    <col min="14355" max="14355" width="16.5703125" style="23" customWidth="1"/>
    <col min="14356" max="14356" width="29" style="23" customWidth="1"/>
    <col min="14357" max="14357" width="17.28515625" style="23" customWidth="1"/>
    <col min="14358" max="14358" width="13.85546875" style="23" customWidth="1"/>
    <col min="14359" max="14359" width="12.7109375" style="23" customWidth="1"/>
    <col min="14360" max="14596" width="9" style="23"/>
    <col min="14597" max="14597" width="15.28515625" style="23" customWidth="1"/>
    <col min="14598" max="14598" width="83.140625" style="23" bestFit="1" customWidth="1"/>
    <col min="14599" max="14599" width="22" style="23" customWidth="1"/>
    <col min="14600" max="14600" width="102.140625" style="23" bestFit="1" customWidth="1"/>
    <col min="14601" max="14601" width="17.28515625" style="23" customWidth="1"/>
    <col min="14602" max="14602" width="29.85546875" style="23" bestFit="1" customWidth="1"/>
    <col min="14603" max="14603" width="31.140625" style="23" customWidth="1"/>
    <col min="14604" max="14604" width="21.85546875" style="23" customWidth="1"/>
    <col min="14605" max="14605" width="14.140625" style="23" customWidth="1"/>
    <col min="14606" max="14606" width="25.7109375" style="23" customWidth="1"/>
    <col min="14607" max="14607" width="26.7109375" style="23" customWidth="1"/>
    <col min="14608" max="14608" width="58.42578125" style="23" bestFit="1" customWidth="1"/>
    <col min="14609" max="14609" width="12.42578125" style="23" customWidth="1"/>
    <col min="14610" max="14610" width="19.28515625" style="23" customWidth="1"/>
    <col min="14611" max="14611" width="16.5703125" style="23" customWidth="1"/>
    <col min="14612" max="14612" width="29" style="23" customWidth="1"/>
    <col min="14613" max="14613" width="17.28515625" style="23" customWidth="1"/>
    <col min="14614" max="14614" width="13.85546875" style="23" customWidth="1"/>
    <col min="14615" max="14615" width="12.7109375" style="23" customWidth="1"/>
    <col min="14616" max="14852" width="9" style="23"/>
    <col min="14853" max="14853" width="15.28515625" style="23" customWidth="1"/>
    <col min="14854" max="14854" width="83.140625" style="23" bestFit="1" customWidth="1"/>
    <col min="14855" max="14855" width="22" style="23" customWidth="1"/>
    <col min="14856" max="14856" width="102.140625" style="23" bestFit="1" customWidth="1"/>
    <col min="14857" max="14857" width="17.28515625" style="23" customWidth="1"/>
    <col min="14858" max="14858" width="29.85546875" style="23" bestFit="1" customWidth="1"/>
    <col min="14859" max="14859" width="31.140625" style="23" customWidth="1"/>
    <col min="14860" max="14860" width="21.85546875" style="23" customWidth="1"/>
    <col min="14861" max="14861" width="14.140625" style="23" customWidth="1"/>
    <col min="14862" max="14862" width="25.7109375" style="23" customWidth="1"/>
    <col min="14863" max="14863" width="26.7109375" style="23" customWidth="1"/>
    <col min="14864" max="14864" width="58.42578125" style="23" bestFit="1" customWidth="1"/>
    <col min="14865" max="14865" width="12.42578125" style="23" customWidth="1"/>
    <col min="14866" max="14866" width="19.28515625" style="23" customWidth="1"/>
    <col min="14867" max="14867" width="16.5703125" style="23" customWidth="1"/>
    <col min="14868" max="14868" width="29" style="23" customWidth="1"/>
    <col min="14869" max="14869" width="17.28515625" style="23" customWidth="1"/>
    <col min="14870" max="14870" width="13.85546875" style="23" customWidth="1"/>
    <col min="14871" max="14871" width="12.7109375" style="23" customWidth="1"/>
    <col min="14872" max="15108" width="9" style="23"/>
    <col min="15109" max="15109" width="15.28515625" style="23" customWidth="1"/>
    <col min="15110" max="15110" width="83.140625" style="23" bestFit="1" customWidth="1"/>
    <col min="15111" max="15111" width="22" style="23" customWidth="1"/>
    <col min="15112" max="15112" width="102.140625" style="23" bestFit="1" customWidth="1"/>
    <col min="15113" max="15113" width="17.28515625" style="23" customWidth="1"/>
    <col min="15114" max="15114" width="29.85546875" style="23" bestFit="1" customWidth="1"/>
    <col min="15115" max="15115" width="31.140625" style="23" customWidth="1"/>
    <col min="15116" max="15116" width="21.85546875" style="23" customWidth="1"/>
    <col min="15117" max="15117" width="14.140625" style="23" customWidth="1"/>
    <col min="15118" max="15118" width="25.7109375" style="23" customWidth="1"/>
    <col min="15119" max="15119" width="26.7109375" style="23" customWidth="1"/>
    <col min="15120" max="15120" width="58.42578125" style="23" bestFit="1" customWidth="1"/>
    <col min="15121" max="15121" width="12.42578125" style="23" customWidth="1"/>
    <col min="15122" max="15122" width="19.28515625" style="23" customWidth="1"/>
    <col min="15123" max="15123" width="16.5703125" style="23" customWidth="1"/>
    <col min="15124" max="15124" width="29" style="23" customWidth="1"/>
    <col min="15125" max="15125" width="17.28515625" style="23" customWidth="1"/>
    <col min="15126" max="15126" width="13.85546875" style="23" customWidth="1"/>
    <col min="15127" max="15127" width="12.7109375" style="23" customWidth="1"/>
    <col min="15128" max="15364" width="9" style="23"/>
    <col min="15365" max="15365" width="15.28515625" style="23" customWidth="1"/>
    <col min="15366" max="15366" width="83.140625" style="23" bestFit="1" customWidth="1"/>
    <col min="15367" max="15367" width="22" style="23" customWidth="1"/>
    <col min="15368" max="15368" width="102.140625" style="23" bestFit="1" customWidth="1"/>
    <col min="15369" max="15369" width="17.28515625" style="23" customWidth="1"/>
    <col min="15370" max="15370" width="29.85546875" style="23" bestFit="1" customWidth="1"/>
    <col min="15371" max="15371" width="31.140625" style="23" customWidth="1"/>
    <col min="15372" max="15372" width="21.85546875" style="23" customWidth="1"/>
    <col min="15373" max="15373" width="14.140625" style="23" customWidth="1"/>
    <col min="15374" max="15374" width="25.7109375" style="23" customWidth="1"/>
    <col min="15375" max="15375" width="26.7109375" style="23" customWidth="1"/>
    <col min="15376" max="15376" width="58.42578125" style="23" bestFit="1" customWidth="1"/>
    <col min="15377" max="15377" width="12.42578125" style="23" customWidth="1"/>
    <col min="15378" max="15378" width="19.28515625" style="23" customWidth="1"/>
    <col min="15379" max="15379" width="16.5703125" style="23" customWidth="1"/>
    <col min="15380" max="15380" width="29" style="23" customWidth="1"/>
    <col min="15381" max="15381" width="17.28515625" style="23" customWidth="1"/>
    <col min="15382" max="15382" width="13.85546875" style="23" customWidth="1"/>
    <col min="15383" max="15383" width="12.7109375" style="23" customWidth="1"/>
    <col min="15384" max="15620" width="9" style="23"/>
    <col min="15621" max="15621" width="15.28515625" style="23" customWidth="1"/>
    <col min="15622" max="15622" width="83.140625" style="23" bestFit="1" customWidth="1"/>
    <col min="15623" max="15623" width="22" style="23" customWidth="1"/>
    <col min="15624" max="15624" width="102.140625" style="23" bestFit="1" customWidth="1"/>
    <col min="15625" max="15625" width="17.28515625" style="23" customWidth="1"/>
    <col min="15626" max="15626" width="29.85546875" style="23" bestFit="1" customWidth="1"/>
    <col min="15627" max="15627" width="31.140625" style="23" customWidth="1"/>
    <col min="15628" max="15628" width="21.85546875" style="23" customWidth="1"/>
    <col min="15629" max="15629" width="14.140625" style="23" customWidth="1"/>
    <col min="15630" max="15630" width="25.7109375" style="23" customWidth="1"/>
    <col min="15631" max="15631" width="26.7109375" style="23" customWidth="1"/>
    <col min="15632" max="15632" width="58.42578125" style="23" bestFit="1" customWidth="1"/>
    <col min="15633" max="15633" width="12.42578125" style="23" customWidth="1"/>
    <col min="15634" max="15634" width="19.28515625" style="23" customWidth="1"/>
    <col min="15635" max="15635" width="16.5703125" style="23" customWidth="1"/>
    <col min="15636" max="15636" width="29" style="23" customWidth="1"/>
    <col min="15637" max="15637" width="17.28515625" style="23" customWidth="1"/>
    <col min="15638" max="15638" width="13.85546875" style="23" customWidth="1"/>
    <col min="15639" max="15639" width="12.7109375" style="23" customWidth="1"/>
    <col min="15640" max="15876" width="9" style="23"/>
    <col min="15877" max="15877" width="15.28515625" style="23" customWidth="1"/>
    <col min="15878" max="15878" width="83.140625" style="23" bestFit="1" customWidth="1"/>
    <col min="15879" max="15879" width="22" style="23" customWidth="1"/>
    <col min="15880" max="15880" width="102.140625" style="23" bestFit="1" customWidth="1"/>
    <col min="15881" max="15881" width="17.28515625" style="23" customWidth="1"/>
    <col min="15882" max="15882" width="29.85546875" style="23" bestFit="1" customWidth="1"/>
    <col min="15883" max="15883" width="31.140625" style="23" customWidth="1"/>
    <col min="15884" max="15884" width="21.85546875" style="23" customWidth="1"/>
    <col min="15885" max="15885" width="14.140625" style="23" customWidth="1"/>
    <col min="15886" max="15886" width="25.7109375" style="23" customWidth="1"/>
    <col min="15887" max="15887" width="26.7109375" style="23" customWidth="1"/>
    <col min="15888" max="15888" width="58.42578125" style="23" bestFit="1" customWidth="1"/>
    <col min="15889" max="15889" width="12.42578125" style="23" customWidth="1"/>
    <col min="15890" max="15890" width="19.28515625" style="23" customWidth="1"/>
    <col min="15891" max="15891" width="16.5703125" style="23" customWidth="1"/>
    <col min="15892" max="15892" width="29" style="23" customWidth="1"/>
    <col min="15893" max="15893" width="17.28515625" style="23" customWidth="1"/>
    <col min="15894" max="15894" width="13.85546875" style="23" customWidth="1"/>
    <col min="15895" max="15895" width="12.7109375" style="23" customWidth="1"/>
    <col min="15896" max="16132" width="9" style="23"/>
    <col min="16133" max="16133" width="15.28515625" style="23" customWidth="1"/>
    <col min="16134" max="16134" width="83.140625" style="23" bestFit="1" customWidth="1"/>
    <col min="16135" max="16135" width="22" style="23" customWidth="1"/>
    <col min="16136" max="16136" width="102.140625" style="23" bestFit="1" customWidth="1"/>
    <col min="16137" max="16137" width="17.28515625" style="23" customWidth="1"/>
    <col min="16138" max="16138" width="29.85546875" style="23" bestFit="1" customWidth="1"/>
    <col min="16139" max="16139" width="31.140625" style="23" customWidth="1"/>
    <col min="16140" max="16140" width="21.85546875" style="23" customWidth="1"/>
    <col min="16141" max="16141" width="14.140625" style="23" customWidth="1"/>
    <col min="16142" max="16142" width="25.7109375" style="23" customWidth="1"/>
    <col min="16143" max="16143" width="26.7109375" style="23" customWidth="1"/>
    <col min="16144" max="16144" width="58.42578125" style="23" bestFit="1" customWidth="1"/>
    <col min="16145" max="16145" width="12.42578125" style="23" customWidth="1"/>
    <col min="16146" max="16146" width="19.28515625" style="23" customWidth="1"/>
    <col min="16147" max="16147" width="16.5703125" style="23" customWidth="1"/>
    <col min="16148" max="16148" width="29" style="23" customWidth="1"/>
    <col min="16149" max="16149" width="17.28515625" style="23" customWidth="1"/>
    <col min="16150" max="16150" width="13.85546875" style="23" customWidth="1"/>
    <col min="16151" max="16151" width="12.7109375" style="23" customWidth="1"/>
    <col min="16152" max="16384" width="9" style="23"/>
  </cols>
  <sheetData>
    <row r="1" spans="1:31" s="36" customFormat="1" ht="23.25" customHeight="1" x14ac:dyDescent="0.25">
      <c r="A1" s="67"/>
      <c r="B1" s="209" t="s">
        <v>7</v>
      </c>
      <c r="C1" s="225"/>
      <c r="D1" s="225"/>
      <c r="E1" s="225"/>
      <c r="F1" s="209"/>
      <c r="G1" s="209"/>
      <c r="H1" s="209"/>
      <c r="I1" s="209"/>
      <c r="J1" s="209"/>
      <c r="K1" s="209"/>
      <c r="L1" s="209"/>
      <c r="M1" s="209"/>
      <c r="N1" s="392"/>
      <c r="O1" s="209"/>
      <c r="P1" s="209"/>
      <c r="Q1" s="209"/>
      <c r="R1" s="209"/>
      <c r="S1" s="209"/>
      <c r="T1" s="84"/>
      <c r="Z1" s="603"/>
      <c r="AB1" s="603"/>
      <c r="AC1" s="603"/>
    </row>
    <row r="2" spans="1:31" s="36" customFormat="1" ht="23.25" customHeight="1" x14ac:dyDescent="0.25">
      <c r="A2" s="67"/>
      <c r="B2" s="210" t="s">
        <v>8</v>
      </c>
      <c r="C2" s="226"/>
      <c r="D2" s="226"/>
      <c r="E2" s="226"/>
      <c r="F2" s="210"/>
      <c r="G2" s="210"/>
      <c r="H2" s="210"/>
      <c r="I2" s="210"/>
      <c r="J2" s="210"/>
      <c r="K2" s="210"/>
      <c r="L2" s="210"/>
      <c r="M2" s="210"/>
      <c r="N2" s="393"/>
      <c r="O2" s="210"/>
      <c r="P2" s="210"/>
      <c r="Q2" s="210"/>
      <c r="R2" s="210"/>
      <c r="S2" s="210"/>
      <c r="T2" s="84"/>
      <c r="Z2" s="603"/>
      <c r="AB2" s="603"/>
      <c r="AC2" s="603"/>
    </row>
    <row r="3" spans="1:31" s="66" customFormat="1" ht="36" customHeight="1" x14ac:dyDescent="0.25">
      <c r="A3" s="89" t="s">
        <v>4</v>
      </c>
      <c r="B3" s="90" t="s">
        <v>124</v>
      </c>
      <c r="C3" s="227" t="s">
        <v>5</v>
      </c>
      <c r="D3" s="227"/>
      <c r="E3" s="227"/>
      <c r="F3" s="91" t="s">
        <v>53</v>
      </c>
      <c r="G3" s="91" t="s">
        <v>125</v>
      </c>
      <c r="H3" s="91" t="s">
        <v>126</v>
      </c>
      <c r="I3" s="92" t="s">
        <v>9</v>
      </c>
      <c r="J3" s="91" t="s">
        <v>127</v>
      </c>
      <c r="K3" s="91" t="s">
        <v>128</v>
      </c>
      <c r="L3" s="92" t="s">
        <v>129</v>
      </c>
      <c r="M3" s="92" t="s">
        <v>130</v>
      </c>
      <c r="N3" s="91" t="s">
        <v>131</v>
      </c>
      <c r="O3" s="93" t="s">
        <v>132</v>
      </c>
      <c r="P3" s="93" t="s">
        <v>133</v>
      </c>
      <c r="Q3" s="89" t="s">
        <v>662</v>
      </c>
      <c r="R3" s="94" t="s">
        <v>0</v>
      </c>
      <c r="S3" s="94" t="s">
        <v>6</v>
      </c>
      <c r="T3" s="94" t="s">
        <v>1</v>
      </c>
      <c r="U3" s="89" t="s">
        <v>2</v>
      </c>
      <c r="V3" s="89" t="s">
        <v>3</v>
      </c>
      <c r="W3" s="89" t="s">
        <v>137</v>
      </c>
      <c r="X3" s="89" t="s">
        <v>154</v>
      </c>
      <c r="Y3" s="89" t="s">
        <v>135</v>
      </c>
      <c r="Z3" s="604" t="s">
        <v>25</v>
      </c>
      <c r="AA3" s="96" t="s">
        <v>26</v>
      </c>
      <c r="AB3" s="611" t="s">
        <v>142</v>
      </c>
      <c r="AC3" s="611" t="s">
        <v>143</v>
      </c>
      <c r="AD3" s="111" t="s">
        <v>159</v>
      </c>
      <c r="AE3" s="66" t="s">
        <v>3521</v>
      </c>
    </row>
    <row r="4" spans="1:31" s="82" customFormat="1" ht="45.75" customHeight="1" x14ac:dyDescent="0.25">
      <c r="A4" s="74">
        <v>1</v>
      </c>
      <c r="B4" s="8">
        <v>43398</v>
      </c>
      <c r="C4" s="221" t="s">
        <v>42</v>
      </c>
      <c r="D4" s="221"/>
      <c r="E4" s="221"/>
      <c r="F4" s="133" t="s">
        <v>160</v>
      </c>
      <c r="G4" s="103"/>
      <c r="H4" s="103"/>
      <c r="I4" s="137" t="s">
        <v>43</v>
      </c>
      <c r="J4" s="103"/>
      <c r="K4" s="103"/>
      <c r="L4" s="103"/>
      <c r="M4" s="103"/>
      <c r="N4" s="249"/>
      <c r="O4" s="78" t="s">
        <v>33</v>
      </c>
      <c r="P4" s="119" t="s">
        <v>153</v>
      </c>
      <c r="Q4" s="80">
        <v>300</v>
      </c>
      <c r="R4" s="80">
        <v>500000</v>
      </c>
      <c r="S4" s="80">
        <v>300000</v>
      </c>
      <c r="T4" s="80">
        <f t="shared" ref="T4:T68" si="0">R4+S4</f>
        <v>800000</v>
      </c>
      <c r="U4" s="78"/>
      <c r="V4" s="78"/>
      <c r="W4" s="10" t="s">
        <v>44</v>
      </c>
      <c r="X4" s="37" t="s">
        <v>155</v>
      </c>
      <c r="Y4" s="98">
        <v>0.3</v>
      </c>
      <c r="Z4" s="376">
        <f>T4*Y4</f>
        <v>240000</v>
      </c>
      <c r="AA4" s="78">
        <v>0</v>
      </c>
      <c r="AB4" s="414">
        <f t="shared" ref="AB4:AB68" si="1">T4*0.68</f>
        <v>544000</v>
      </c>
      <c r="AC4" s="414">
        <f t="shared" ref="AC4:AC30" si="2">AB4-Z4-AA4</f>
        <v>304000</v>
      </c>
      <c r="AD4" s="132" t="s">
        <v>222</v>
      </c>
    </row>
    <row r="5" spans="1:31" s="320" customFormat="1" ht="30" customHeight="1" x14ac:dyDescent="0.25">
      <c r="A5" s="311">
        <v>2</v>
      </c>
      <c r="B5" s="312">
        <v>43403</v>
      </c>
      <c r="C5" s="313" t="s">
        <v>46</v>
      </c>
      <c r="D5" s="313"/>
      <c r="E5" s="313"/>
      <c r="F5" s="314" t="s">
        <v>45</v>
      </c>
      <c r="G5" s="311"/>
      <c r="H5" s="315"/>
      <c r="I5" s="316" t="s">
        <v>47</v>
      </c>
      <c r="J5" s="317"/>
      <c r="K5" s="311"/>
      <c r="L5" s="311"/>
      <c r="M5" s="311"/>
      <c r="N5" s="394" t="s">
        <v>48</v>
      </c>
      <c r="O5" s="269" t="s">
        <v>49</v>
      </c>
      <c r="P5" s="318" t="s">
        <v>153</v>
      </c>
      <c r="Q5" s="270">
        <v>300</v>
      </c>
      <c r="R5" s="270">
        <v>500000</v>
      </c>
      <c r="S5" s="270">
        <v>300000</v>
      </c>
      <c r="T5" s="270">
        <f t="shared" si="0"/>
        <v>800000</v>
      </c>
      <c r="U5" s="269"/>
      <c r="V5" s="269"/>
      <c r="W5" s="269"/>
      <c r="X5" s="269"/>
      <c r="Y5" s="269"/>
      <c r="Z5" s="605">
        <v>0</v>
      </c>
      <c r="AA5" s="269">
        <v>0</v>
      </c>
      <c r="AB5" s="605">
        <f t="shared" si="1"/>
        <v>544000</v>
      </c>
      <c r="AC5" s="605">
        <f t="shared" si="2"/>
        <v>544000</v>
      </c>
      <c r="AD5" s="319" t="s">
        <v>222</v>
      </c>
    </row>
    <row r="6" spans="1:31" s="112" customFormat="1" ht="58.5" customHeight="1" x14ac:dyDescent="0.25">
      <c r="A6" s="113">
        <v>3</v>
      </c>
      <c r="B6" s="114">
        <v>43411</v>
      </c>
      <c r="C6" s="222" t="s">
        <v>144</v>
      </c>
      <c r="D6" s="222"/>
      <c r="E6" s="222"/>
      <c r="F6" s="116" t="s">
        <v>145</v>
      </c>
      <c r="G6" s="116" t="s">
        <v>145</v>
      </c>
      <c r="H6" s="117" t="s">
        <v>146</v>
      </c>
      <c r="I6" s="3" t="s">
        <v>147</v>
      </c>
      <c r="J6" s="54" t="s">
        <v>148</v>
      </c>
      <c r="K6" s="2" t="s">
        <v>149</v>
      </c>
      <c r="L6" s="115" t="s">
        <v>150</v>
      </c>
      <c r="M6" s="118" t="s">
        <v>151</v>
      </c>
      <c r="N6" s="395" t="s">
        <v>152</v>
      </c>
      <c r="O6" s="119" t="s">
        <v>33</v>
      </c>
      <c r="P6" s="119" t="s">
        <v>153</v>
      </c>
      <c r="Q6" s="119">
        <v>300</v>
      </c>
      <c r="R6" s="120">
        <v>500000</v>
      </c>
      <c r="S6" s="121">
        <v>300000</v>
      </c>
      <c r="T6" s="80">
        <f t="shared" si="0"/>
        <v>800000</v>
      </c>
      <c r="U6" s="117"/>
      <c r="V6" s="117"/>
      <c r="W6" s="10" t="s">
        <v>44</v>
      </c>
      <c r="X6" s="37" t="s">
        <v>155</v>
      </c>
      <c r="Y6" s="98">
        <v>0.3</v>
      </c>
      <c r="Z6" s="376">
        <f t="shared" ref="Z6:Z14" si="3">T6*Y6</f>
        <v>240000</v>
      </c>
      <c r="AA6" s="117">
        <v>0</v>
      </c>
      <c r="AB6" s="414">
        <f t="shared" si="1"/>
        <v>544000</v>
      </c>
      <c r="AC6" s="414">
        <f t="shared" si="2"/>
        <v>304000</v>
      </c>
      <c r="AD6" s="45" t="s">
        <v>222</v>
      </c>
    </row>
    <row r="7" spans="1:31" s="7" customFormat="1" ht="54.75" customHeight="1" x14ac:dyDescent="0.25">
      <c r="A7" s="74">
        <v>4</v>
      </c>
      <c r="B7" s="122">
        <v>43411</v>
      </c>
      <c r="C7" s="223" t="s">
        <v>156</v>
      </c>
      <c r="D7" s="223"/>
      <c r="E7" s="223"/>
      <c r="F7" s="37" t="s">
        <v>157</v>
      </c>
      <c r="G7" s="37" t="s">
        <v>157</v>
      </c>
      <c r="H7" s="10" t="s">
        <v>169</v>
      </c>
      <c r="I7" s="160" t="s">
        <v>158</v>
      </c>
      <c r="J7" s="10"/>
      <c r="K7" s="10"/>
      <c r="L7" s="10"/>
      <c r="M7" s="10"/>
      <c r="N7" s="249"/>
      <c r="O7" s="119" t="s">
        <v>33</v>
      </c>
      <c r="P7" s="119" t="s">
        <v>153</v>
      </c>
      <c r="Q7" s="119">
        <v>300</v>
      </c>
      <c r="R7" s="120">
        <v>500000</v>
      </c>
      <c r="S7" s="121">
        <v>300000</v>
      </c>
      <c r="T7" s="80">
        <f t="shared" si="0"/>
        <v>800000</v>
      </c>
      <c r="U7" s="117"/>
      <c r="V7" s="117"/>
      <c r="W7" s="10" t="s">
        <v>44</v>
      </c>
      <c r="X7" s="37" t="s">
        <v>155</v>
      </c>
      <c r="Y7" s="98">
        <v>0.3</v>
      </c>
      <c r="Z7" s="376">
        <f t="shared" si="3"/>
        <v>240000</v>
      </c>
      <c r="AA7" s="117">
        <v>0</v>
      </c>
      <c r="AB7" s="414">
        <f t="shared" si="1"/>
        <v>544000</v>
      </c>
      <c r="AC7" s="414">
        <f t="shared" si="2"/>
        <v>304000</v>
      </c>
      <c r="AD7" s="45" t="s">
        <v>222</v>
      </c>
    </row>
    <row r="8" spans="1:31" ht="40.5" customHeight="1" x14ac:dyDescent="0.25">
      <c r="A8" s="311">
        <v>5</v>
      </c>
      <c r="B8" s="6" t="s">
        <v>166</v>
      </c>
      <c r="C8" s="156" t="s">
        <v>167</v>
      </c>
      <c r="D8" s="156"/>
      <c r="E8" s="156"/>
      <c r="F8" s="15">
        <v>104163841</v>
      </c>
      <c r="G8" s="14">
        <v>104163841</v>
      </c>
      <c r="H8" s="16" t="s">
        <v>168</v>
      </c>
      <c r="I8" s="17" t="s">
        <v>170</v>
      </c>
      <c r="J8" s="18" t="s">
        <v>171</v>
      </c>
      <c r="K8" s="152" t="s">
        <v>172</v>
      </c>
      <c r="L8" s="19" t="s">
        <v>173</v>
      </c>
      <c r="M8" s="13" t="s">
        <v>174</v>
      </c>
      <c r="N8" s="396"/>
      <c r="O8" s="119" t="s">
        <v>33</v>
      </c>
      <c r="P8" s="119" t="s">
        <v>153</v>
      </c>
      <c r="Q8" s="19">
        <v>300</v>
      </c>
      <c r="R8" s="13">
        <v>500000</v>
      </c>
      <c r="S8" s="19">
        <v>300000</v>
      </c>
      <c r="T8" s="80">
        <f t="shared" si="0"/>
        <v>800000</v>
      </c>
      <c r="U8" s="19"/>
      <c r="V8" s="19"/>
      <c r="W8" s="10" t="s">
        <v>44</v>
      </c>
      <c r="X8" s="37" t="s">
        <v>155</v>
      </c>
      <c r="Y8" s="98">
        <v>0.3</v>
      </c>
      <c r="Z8" s="376">
        <f t="shared" si="3"/>
        <v>240000</v>
      </c>
      <c r="AA8" s="19">
        <v>0</v>
      </c>
      <c r="AB8" s="414">
        <f t="shared" si="1"/>
        <v>544000</v>
      </c>
      <c r="AC8" s="414">
        <f t="shared" si="2"/>
        <v>304000</v>
      </c>
      <c r="AD8" s="45" t="s">
        <v>222</v>
      </c>
    </row>
    <row r="9" spans="1:31" ht="78.75" x14ac:dyDescent="0.25">
      <c r="A9" s="113">
        <v>6</v>
      </c>
      <c r="B9" s="6" t="s">
        <v>208</v>
      </c>
      <c r="C9" s="224" t="s">
        <v>197</v>
      </c>
      <c r="D9" s="224"/>
      <c r="E9" s="224"/>
      <c r="F9" s="15" t="s">
        <v>198</v>
      </c>
      <c r="G9" s="102"/>
      <c r="H9" s="15" t="s">
        <v>199</v>
      </c>
      <c r="I9" s="134" t="s">
        <v>200</v>
      </c>
      <c r="J9" s="18" t="s">
        <v>201</v>
      </c>
      <c r="K9" s="152" t="s">
        <v>202</v>
      </c>
      <c r="L9" s="19" t="s">
        <v>203</v>
      </c>
      <c r="M9" s="13"/>
      <c r="N9" s="396" t="s">
        <v>204</v>
      </c>
      <c r="O9" s="119" t="s">
        <v>191</v>
      </c>
      <c r="P9" s="119" t="s">
        <v>153</v>
      </c>
      <c r="Q9" s="19">
        <v>500</v>
      </c>
      <c r="R9" s="13">
        <v>500000</v>
      </c>
      <c r="S9" s="26">
        <v>425000</v>
      </c>
      <c r="T9" s="80">
        <f t="shared" si="0"/>
        <v>925000</v>
      </c>
      <c r="U9" s="19"/>
      <c r="V9" s="19"/>
      <c r="W9" s="19" t="s">
        <v>205</v>
      </c>
      <c r="X9" s="25" t="s">
        <v>206</v>
      </c>
      <c r="Y9" s="165">
        <v>0.3</v>
      </c>
      <c r="Z9" s="376">
        <f t="shared" si="3"/>
        <v>277500</v>
      </c>
      <c r="AA9" s="19"/>
      <c r="AB9" s="414">
        <f t="shared" si="1"/>
        <v>629000</v>
      </c>
      <c r="AC9" s="414">
        <f t="shared" si="2"/>
        <v>351500</v>
      </c>
      <c r="AD9" s="45" t="s">
        <v>222</v>
      </c>
    </row>
    <row r="10" spans="1:31" ht="63" x14ac:dyDescent="0.25">
      <c r="A10" s="74">
        <v>7</v>
      </c>
      <c r="B10" s="24" t="s">
        <v>208</v>
      </c>
      <c r="C10" s="134" t="s">
        <v>207</v>
      </c>
      <c r="D10" s="134"/>
      <c r="E10" s="134"/>
      <c r="F10" s="25" t="s">
        <v>209</v>
      </c>
      <c r="G10" s="14"/>
      <c r="H10" s="16" t="s">
        <v>199</v>
      </c>
      <c r="I10" s="161" t="s">
        <v>210</v>
      </c>
      <c r="J10" s="18" t="s">
        <v>201</v>
      </c>
      <c r="K10" s="152" t="s">
        <v>202</v>
      </c>
      <c r="L10" t="s">
        <v>211</v>
      </c>
      <c r="M10" s="13"/>
      <c r="N10" s="397" t="s">
        <v>212</v>
      </c>
      <c r="O10" s="119" t="s">
        <v>213</v>
      </c>
      <c r="P10" s="119" t="s">
        <v>153</v>
      </c>
      <c r="Q10" s="19">
        <v>500</v>
      </c>
      <c r="R10" s="13">
        <v>500000</v>
      </c>
      <c r="S10" s="26">
        <v>425000</v>
      </c>
      <c r="T10" s="80">
        <f t="shared" si="0"/>
        <v>925000</v>
      </c>
      <c r="U10" s="19"/>
      <c r="V10" s="19"/>
      <c r="W10" s="19" t="s">
        <v>205</v>
      </c>
      <c r="X10" s="25" t="s">
        <v>206</v>
      </c>
      <c r="Y10" s="165">
        <v>0.3</v>
      </c>
      <c r="Z10" s="376">
        <f t="shared" si="3"/>
        <v>277500</v>
      </c>
      <c r="AA10" s="19"/>
      <c r="AB10" s="414">
        <f t="shared" si="1"/>
        <v>629000</v>
      </c>
      <c r="AC10" s="414">
        <f t="shared" si="2"/>
        <v>351500</v>
      </c>
      <c r="AD10" s="19" t="s">
        <v>222</v>
      </c>
    </row>
    <row r="11" spans="1:31" ht="63" x14ac:dyDescent="0.25">
      <c r="A11" s="311">
        <v>8</v>
      </c>
      <c r="B11" s="22">
        <v>43385</v>
      </c>
      <c r="C11" s="148" t="s">
        <v>263</v>
      </c>
      <c r="D11" s="148"/>
      <c r="E11" s="148"/>
      <c r="F11" s="153" t="s">
        <v>264</v>
      </c>
      <c r="G11" s="10"/>
      <c r="H11" s="101" t="s">
        <v>168</v>
      </c>
      <c r="I11" s="148" t="s">
        <v>265</v>
      </c>
      <c r="J11" s="37" t="s">
        <v>266</v>
      </c>
      <c r="K11" s="208" t="s">
        <v>267</v>
      </c>
      <c r="L11" s="19"/>
      <c r="M11" s="13"/>
      <c r="N11" s="249" t="s">
        <v>268</v>
      </c>
      <c r="O11" s="19" t="s">
        <v>269</v>
      </c>
      <c r="P11" s="19" t="s">
        <v>153</v>
      </c>
      <c r="Q11" s="19">
        <v>20000</v>
      </c>
      <c r="R11" s="13">
        <v>500000</v>
      </c>
      <c r="S11" s="19">
        <v>6000000</v>
      </c>
      <c r="T11" s="80">
        <f t="shared" si="0"/>
        <v>6500000</v>
      </c>
      <c r="U11" s="19"/>
      <c r="V11" s="19"/>
      <c r="W11" s="19" t="s">
        <v>270</v>
      </c>
      <c r="X11" s="19"/>
      <c r="Y11" s="165">
        <v>0.3</v>
      </c>
      <c r="Z11" s="376">
        <f t="shared" si="3"/>
        <v>1950000</v>
      </c>
      <c r="AA11" s="19"/>
      <c r="AB11" s="414">
        <f t="shared" si="1"/>
        <v>4420000</v>
      </c>
      <c r="AC11" s="414">
        <f t="shared" si="2"/>
        <v>2470000</v>
      </c>
      <c r="AD11" s="19" t="s">
        <v>222</v>
      </c>
    </row>
    <row r="12" spans="1:31" ht="63" x14ac:dyDescent="0.25">
      <c r="A12" s="113">
        <v>9</v>
      </c>
      <c r="B12" s="10"/>
      <c r="C12" s="156" t="s">
        <v>271</v>
      </c>
      <c r="D12" s="156"/>
      <c r="E12" s="156"/>
      <c r="F12" s="25" t="s">
        <v>272</v>
      </c>
      <c r="G12" s="14"/>
      <c r="H12" s="29" t="s">
        <v>273</v>
      </c>
      <c r="I12" s="162" t="s">
        <v>274</v>
      </c>
      <c r="J12" s="37" t="s">
        <v>148</v>
      </c>
      <c r="K12" s="152" t="s">
        <v>275</v>
      </c>
      <c r="L12" s="19" t="s">
        <v>276</v>
      </c>
      <c r="M12" s="11"/>
      <c r="N12" s="343" t="s">
        <v>277</v>
      </c>
      <c r="O12" s="10" t="s">
        <v>39</v>
      </c>
      <c r="P12" s="19" t="s">
        <v>278</v>
      </c>
      <c r="Q12" s="19">
        <v>1000</v>
      </c>
      <c r="R12" s="13">
        <v>500000</v>
      </c>
      <c r="S12" s="19">
        <v>675000</v>
      </c>
      <c r="T12" s="80">
        <f t="shared" si="0"/>
        <v>1175000</v>
      </c>
      <c r="U12" s="19"/>
      <c r="V12" s="19"/>
      <c r="W12" s="19"/>
      <c r="X12" s="19"/>
      <c r="Y12" s="165">
        <v>0.4</v>
      </c>
      <c r="Z12" s="376">
        <f t="shared" si="3"/>
        <v>470000</v>
      </c>
      <c r="AA12" s="19"/>
      <c r="AB12" s="414">
        <f t="shared" si="1"/>
        <v>799000</v>
      </c>
      <c r="AC12" s="414">
        <f t="shared" si="2"/>
        <v>329000</v>
      </c>
      <c r="AD12" s="19" t="s">
        <v>222</v>
      </c>
    </row>
    <row r="13" spans="1:31" ht="63" x14ac:dyDescent="0.25">
      <c r="A13" s="74">
        <v>10</v>
      </c>
      <c r="B13" s="10" t="s">
        <v>294</v>
      </c>
      <c r="C13" s="134" t="s">
        <v>295</v>
      </c>
      <c r="D13" s="134"/>
      <c r="E13" s="134"/>
      <c r="F13" s="15" t="s">
        <v>296</v>
      </c>
      <c r="G13" s="18"/>
      <c r="H13" s="29" t="s">
        <v>168</v>
      </c>
      <c r="I13" s="161" t="s">
        <v>297</v>
      </c>
      <c r="J13" s="10"/>
      <c r="K13" s="10"/>
      <c r="L13" s="26"/>
      <c r="M13" s="11"/>
      <c r="N13" s="398"/>
      <c r="O13" s="10" t="s">
        <v>299</v>
      </c>
      <c r="P13" s="19" t="s">
        <v>278</v>
      </c>
      <c r="Q13" s="19">
        <v>500</v>
      </c>
      <c r="R13" s="13">
        <v>500000</v>
      </c>
      <c r="S13" s="19">
        <v>425000</v>
      </c>
      <c r="T13" s="80">
        <f t="shared" si="0"/>
        <v>925000</v>
      </c>
      <c r="U13" s="19"/>
      <c r="V13" s="19"/>
      <c r="W13" s="19" t="s">
        <v>300</v>
      </c>
      <c r="X13" s="19"/>
      <c r="Y13" s="165">
        <v>0.55000000000000004</v>
      </c>
      <c r="Z13" s="376">
        <f t="shared" si="3"/>
        <v>508750.00000000006</v>
      </c>
      <c r="AA13" s="19"/>
      <c r="AB13" s="414">
        <f t="shared" si="1"/>
        <v>629000</v>
      </c>
      <c r="AC13" s="414">
        <f t="shared" si="2"/>
        <v>120249.99999999994</v>
      </c>
      <c r="AD13" s="19" t="s">
        <v>222</v>
      </c>
    </row>
    <row r="14" spans="1:31" ht="63" x14ac:dyDescent="0.25">
      <c r="A14" s="311">
        <v>11</v>
      </c>
      <c r="B14" s="10" t="s">
        <v>301</v>
      </c>
      <c r="C14" s="156" t="s">
        <v>302</v>
      </c>
      <c r="D14" s="156"/>
      <c r="E14" s="156"/>
      <c r="F14" s="15" t="s">
        <v>303</v>
      </c>
      <c r="G14" s="14"/>
      <c r="H14" s="29" t="s">
        <v>273</v>
      </c>
      <c r="I14" s="134" t="s">
        <v>304</v>
      </c>
      <c r="J14" s="37" t="s">
        <v>305</v>
      </c>
      <c r="K14" s="10" t="s">
        <v>306</v>
      </c>
      <c r="L14" s="26" t="s">
        <v>307</v>
      </c>
      <c r="M14" s="11"/>
      <c r="N14" s="398" t="s">
        <v>308</v>
      </c>
      <c r="O14" s="10" t="s">
        <v>33</v>
      </c>
      <c r="P14" s="19" t="s">
        <v>278</v>
      </c>
      <c r="Q14" s="19">
        <v>300</v>
      </c>
      <c r="R14" s="13">
        <v>500000</v>
      </c>
      <c r="S14" s="19">
        <v>300000</v>
      </c>
      <c r="T14" s="80">
        <f t="shared" si="0"/>
        <v>800000</v>
      </c>
      <c r="U14" s="19"/>
      <c r="V14" s="19"/>
      <c r="W14" s="19" t="s">
        <v>309</v>
      </c>
      <c r="X14" s="19"/>
      <c r="Y14" s="165">
        <v>0.4</v>
      </c>
      <c r="Z14" s="376">
        <f t="shared" si="3"/>
        <v>320000</v>
      </c>
      <c r="AA14" s="19"/>
      <c r="AB14" s="414">
        <f t="shared" si="1"/>
        <v>544000</v>
      </c>
      <c r="AC14" s="414">
        <f t="shared" si="2"/>
        <v>224000</v>
      </c>
      <c r="AD14" s="19" t="s">
        <v>368</v>
      </c>
    </row>
    <row r="15" spans="1:31" ht="63" x14ac:dyDescent="0.25">
      <c r="A15" s="113">
        <v>12</v>
      </c>
      <c r="B15" s="10" t="s">
        <v>310</v>
      </c>
      <c r="C15" s="157" t="s">
        <v>316</v>
      </c>
      <c r="D15" s="157"/>
      <c r="E15" s="157"/>
      <c r="F15" s="175" t="s">
        <v>317</v>
      </c>
      <c r="G15" s="10"/>
      <c r="H15" s="29" t="s">
        <v>322</v>
      </c>
      <c r="I15" s="157" t="s">
        <v>318</v>
      </c>
      <c r="J15" s="10" t="s">
        <v>319</v>
      </c>
      <c r="K15" s="10" t="s">
        <v>323</v>
      </c>
      <c r="L15" s="10" t="s">
        <v>324</v>
      </c>
      <c r="M15" s="11"/>
      <c r="N15" s="249"/>
      <c r="O15" s="10" t="s">
        <v>33</v>
      </c>
      <c r="P15" s="19" t="s">
        <v>278</v>
      </c>
      <c r="Q15" s="19">
        <v>300</v>
      </c>
      <c r="R15" s="13">
        <v>500000</v>
      </c>
      <c r="S15" s="19">
        <v>300000</v>
      </c>
      <c r="T15" s="80">
        <f t="shared" si="0"/>
        <v>800000</v>
      </c>
      <c r="U15" s="19"/>
      <c r="V15" s="19"/>
      <c r="W15" s="19" t="s">
        <v>309</v>
      </c>
      <c r="X15" s="19"/>
      <c r="Y15" s="19"/>
      <c r="Z15" s="376">
        <v>200000</v>
      </c>
      <c r="AA15" s="19"/>
      <c r="AB15" s="414">
        <f t="shared" si="1"/>
        <v>544000</v>
      </c>
      <c r="AC15" s="414">
        <f t="shared" si="2"/>
        <v>344000</v>
      </c>
      <c r="AD15" s="19" t="s">
        <v>368</v>
      </c>
    </row>
    <row r="16" spans="1:31" ht="47.25" x14ac:dyDescent="0.25">
      <c r="A16" s="74">
        <v>13</v>
      </c>
      <c r="B16" s="10" t="s">
        <v>310</v>
      </c>
      <c r="C16" s="157" t="s">
        <v>325</v>
      </c>
      <c r="D16" s="157"/>
      <c r="E16" s="157"/>
      <c r="F16" s="175" t="s">
        <v>326</v>
      </c>
      <c r="G16" s="10"/>
      <c r="H16" s="29" t="s">
        <v>327</v>
      </c>
      <c r="I16" s="157" t="s">
        <v>328</v>
      </c>
      <c r="J16" s="10" t="s">
        <v>319</v>
      </c>
      <c r="K16" s="10" t="s">
        <v>323</v>
      </c>
      <c r="L16" s="10" t="s">
        <v>329</v>
      </c>
      <c r="M16" s="11"/>
      <c r="N16" s="249"/>
      <c r="O16" s="10" t="s">
        <v>33</v>
      </c>
      <c r="P16" s="19" t="s">
        <v>278</v>
      </c>
      <c r="Q16" s="19">
        <v>300</v>
      </c>
      <c r="R16" s="13">
        <v>500000</v>
      </c>
      <c r="S16" s="19">
        <v>300000</v>
      </c>
      <c r="T16" s="80">
        <f t="shared" si="0"/>
        <v>800000</v>
      </c>
      <c r="U16" s="19"/>
      <c r="V16" s="19"/>
      <c r="W16" s="19" t="s">
        <v>309</v>
      </c>
      <c r="X16" s="19"/>
      <c r="Y16" s="19"/>
      <c r="Z16" s="376">
        <v>200000</v>
      </c>
      <c r="AA16" s="19"/>
      <c r="AB16" s="414">
        <f t="shared" si="1"/>
        <v>544000</v>
      </c>
      <c r="AC16" s="414">
        <f t="shared" si="2"/>
        <v>344000</v>
      </c>
      <c r="AD16" s="19" t="s">
        <v>368</v>
      </c>
    </row>
    <row r="17" spans="1:31" ht="63" x14ac:dyDescent="0.25">
      <c r="A17" s="311">
        <v>14</v>
      </c>
      <c r="B17" s="10" t="s">
        <v>342</v>
      </c>
      <c r="C17" s="157" t="s">
        <v>343</v>
      </c>
      <c r="D17" s="157"/>
      <c r="E17" s="157"/>
      <c r="F17" s="29" t="s">
        <v>344</v>
      </c>
      <c r="G17" s="10"/>
      <c r="H17" s="29" t="s">
        <v>345</v>
      </c>
      <c r="I17" s="157" t="s">
        <v>346</v>
      </c>
      <c r="J17" s="10">
        <v>907091985</v>
      </c>
      <c r="K17" s="208" t="s">
        <v>347</v>
      </c>
      <c r="L17" s="10" t="s">
        <v>348</v>
      </c>
      <c r="M17" s="11"/>
      <c r="N17" s="398" t="s">
        <v>349</v>
      </c>
      <c r="O17" s="10" t="s">
        <v>33</v>
      </c>
      <c r="P17" s="19" t="s">
        <v>278</v>
      </c>
      <c r="Q17" s="19">
        <v>300</v>
      </c>
      <c r="R17" s="13">
        <v>500000</v>
      </c>
      <c r="S17" s="19">
        <v>300000</v>
      </c>
      <c r="T17" s="80">
        <f t="shared" si="0"/>
        <v>800000</v>
      </c>
      <c r="U17" s="19"/>
      <c r="V17" s="19"/>
      <c r="W17" s="19" t="s">
        <v>350</v>
      </c>
      <c r="X17" s="19"/>
      <c r="Y17" s="19"/>
      <c r="Z17" s="376">
        <f>T17*63%</f>
        <v>504000</v>
      </c>
      <c r="AA17" s="19"/>
      <c r="AB17" s="414">
        <f t="shared" si="1"/>
        <v>544000</v>
      </c>
      <c r="AC17" s="414">
        <f t="shared" si="2"/>
        <v>40000</v>
      </c>
      <c r="AD17" s="19" t="s">
        <v>222</v>
      </c>
    </row>
    <row r="18" spans="1:31" ht="63" x14ac:dyDescent="0.25">
      <c r="A18" s="113">
        <v>15</v>
      </c>
      <c r="B18" s="122">
        <v>43132</v>
      </c>
      <c r="C18" s="157" t="s">
        <v>351</v>
      </c>
      <c r="D18" s="157"/>
      <c r="E18" s="157"/>
      <c r="F18" s="29" t="s">
        <v>352</v>
      </c>
      <c r="G18" s="10"/>
      <c r="H18" s="29" t="s">
        <v>353</v>
      </c>
      <c r="I18" s="157" t="s">
        <v>354</v>
      </c>
      <c r="J18" s="37" t="s">
        <v>355</v>
      </c>
      <c r="K18" s="30"/>
      <c r="L18" s="10" t="s">
        <v>356</v>
      </c>
      <c r="M18" s="11"/>
      <c r="N18" s="249"/>
      <c r="O18" s="157" t="s">
        <v>357</v>
      </c>
      <c r="P18" s="19" t="s">
        <v>278</v>
      </c>
      <c r="Q18" s="19">
        <v>300</v>
      </c>
      <c r="R18" s="13">
        <v>500000</v>
      </c>
      <c r="S18" s="19">
        <v>300000</v>
      </c>
      <c r="T18" s="80">
        <f t="shared" si="0"/>
        <v>800000</v>
      </c>
      <c r="U18" s="19"/>
      <c r="V18" s="19"/>
      <c r="W18" s="19" t="s">
        <v>309</v>
      </c>
      <c r="X18" s="19"/>
      <c r="Y18" s="165">
        <v>0.4</v>
      </c>
      <c r="Z18" s="376">
        <f>T18*40%</f>
        <v>320000</v>
      </c>
      <c r="AA18" s="19"/>
      <c r="AB18" s="414">
        <f t="shared" si="1"/>
        <v>544000</v>
      </c>
      <c r="AC18" s="414">
        <f t="shared" si="2"/>
        <v>224000</v>
      </c>
      <c r="AD18" s="19" t="s">
        <v>222</v>
      </c>
    </row>
    <row r="19" spans="1:31" ht="47.25" x14ac:dyDescent="0.25">
      <c r="A19" s="74">
        <v>16</v>
      </c>
      <c r="B19" s="122">
        <v>43132</v>
      </c>
      <c r="C19" s="157" t="s">
        <v>358</v>
      </c>
      <c r="D19" s="157"/>
      <c r="E19" s="157"/>
      <c r="F19" s="29" t="s">
        <v>359</v>
      </c>
      <c r="G19" s="10"/>
      <c r="H19" s="29" t="s">
        <v>322</v>
      </c>
      <c r="I19" s="157" t="s">
        <v>360</v>
      </c>
      <c r="J19" s="10" t="s">
        <v>361</v>
      </c>
      <c r="K19" s="30"/>
      <c r="L19" s="10" t="s">
        <v>362</v>
      </c>
      <c r="M19" s="11"/>
      <c r="N19" s="249"/>
      <c r="O19" s="157" t="s">
        <v>357</v>
      </c>
      <c r="P19" s="19" t="s">
        <v>278</v>
      </c>
      <c r="Q19" s="19">
        <v>300</v>
      </c>
      <c r="R19" s="13">
        <v>500000</v>
      </c>
      <c r="S19" s="19">
        <v>300000</v>
      </c>
      <c r="T19" s="80">
        <f t="shared" si="0"/>
        <v>800000</v>
      </c>
      <c r="U19" s="19"/>
      <c r="V19" s="19"/>
      <c r="W19" s="19" t="s">
        <v>363</v>
      </c>
      <c r="X19" s="19"/>
      <c r="Y19" s="165">
        <v>0.4</v>
      </c>
      <c r="Z19" s="376">
        <f>T19*40%</f>
        <v>320000</v>
      </c>
      <c r="AA19" s="19"/>
      <c r="AB19" s="414">
        <f t="shared" si="1"/>
        <v>544000</v>
      </c>
      <c r="AC19" s="615">
        <f t="shared" si="2"/>
        <v>224000</v>
      </c>
      <c r="AD19" s="19" t="s">
        <v>222</v>
      </c>
    </row>
    <row r="20" spans="1:31" ht="63" x14ac:dyDescent="0.25">
      <c r="A20" s="311">
        <v>17</v>
      </c>
      <c r="B20" s="122">
        <v>43586</v>
      </c>
      <c r="C20" s="157" t="s">
        <v>395</v>
      </c>
      <c r="D20" s="157"/>
      <c r="E20" s="157"/>
      <c r="F20" s="29" t="s">
        <v>384</v>
      </c>
      <c r="G20" s="10"/>
      <c r="H20" s="29" t="s">
        <v>322</v>
      </c>
      <c r="I20" s="157" t="s">
        <v>396</v>
      </c>
      <c r="J20" s="10" t="s">
        <v>397</v>
      </c>
      <c r="K20" s="208" t="s">
        <v>528</v>
      </c>
      <c r="L20" s="10"/>
      <c r="M20" s="11"/>
      <c r="N20" s="249"/>
      <c r="O20" s="157" t="s">
        <v>398</v>
      </c>
      <c r="P20" s="19" t="s">
        <v>278</v>
      </c>
      <c r="Q20" s="19">
        <v>5000</v>
      </c>
      <c r="R20" s="13">
        <v>500000</v>
      </c>
      <c r="S20" s="19">
        <v>2250000</v>
      </c>
      <c r="T20" s="80">
        <f t="shared" si="0"/>
        <v>2750000</v>
      </c>
      <c r="U20" s="19"/>
      <c r="V20" s="19"/>
      <c r="W20" s="19" t="s">
        <v>399</v>
      </c>
      <c r="X20" s="19"/>
      <c r="Y20" s="165">
        <v>0.2</v>
      </c>
      <c r="Z20" s="376">
        <f>T20*20%</f>
        <v>550000</v>
      </c>
      <c r="AA20" s="19"/>
      <c r="AB20" s="414">
        <f t="shared" si="1"/>
        <v>1870000.0000000002</v>
      </c>
      <c r="AC20" s="615">
        <f t="shared" si="2"/>
        <v>1320000.0000000002</v>
      </c>
      <c r="AD20" s="19" t="s">
        <v>222</v>
      </c>
    </row>
    <row r="21" spans="1:31" s="217" customFormat="1" ht="47.25" x14ac:dyDescent="0.25">
      <c r="A21" s="113">
        <v>18</v>
      </c>
      <c r="B21" s="239" t="s">
        <v>518</v>
      </c>
      <c r="C21" s="242" t="s">
        <v>525</v>
      </c>
      <c r="D21" s="242" t="s">
        <v>984</v>
      </c>
      <c r="E21" s="242"/>
      <c r="F21" s="241" t="s">
        <v>526</v>
      </c>
      <c r="G21" s="220"/>
      <c r="H21" s="244" t="s">
        <v>273</v>
      </c>
      <c r="I21" s="242" t="s">
        <v>527</v>
      </c>
      <c r="J21" s="220" t="s">
        <v>309</v>
      </c>
      <c r="K21" s="208" t="s">
        <v>387</v>
      </c>
      <c r="L21" s="220" t="s">
        <v>529</v>
      </c>
      <c r="M21" s="214"/>
      <c r="N21" s="399"/>
      <c r="O21" s="242" t="s">
        <v>530</v>
      </c>
      <c r="P21" s="220" t="s">
        <v>278</v>
      </c>
      <c r="Q21" s="220">
        <v>5000</v>
      </c>
      <c r="R21" s="214">
        <v>500000</v>
      </c>
      <c r="S21" s="19">
        <v>2250000</v>
      </c>
      <c r="T21" s="80">
        <f t="shared" si="0"/>
        <v>2750000</v>
      </c>
      <c r="U21" s="220"/>
      <c r="V21" s="220"/>
      <c r="W21" s="220" t="s">
        <v>309</v>
      </c>
      <c r="X21" s="220"/>
      <c r="Y21" s="243">
        <v>0.3</v>
      </c>
      <c r="Z21" s="376">
        <f>T21*30%</f>
        <v>825000</v>
      </c>
      <c r="AA21" s="220"/>
      <c r="AB21" s="414">
        <f t="shared" si="1"/>
        <v>1870000.0000000002</v>
      </c>
      <c r="AC21" s="615">
        <f t="shared" si="2"/>
        <v>1045000.0000000002</v>
      </c>
      <c r="AD21" s="220" t="s">
        <v>368</v>
      </c>
    </row>
    <row r="22" spans="1:31" ht="78.75" x14ac:dyDescent="0.25">
      <c r="A22" s="74">
        <v>19</v>
      </c>
      <c r="B22" s="122">
        <v>43531</v>
      </c>
      <c r="C22" s="242" t="s">
        <v>574</v>
      </c>
      <c r="D22" s="242"/>
      <c r="E22" s="242"/>
      <c r="F22" s="29" t="s">
        <v>573</v>
      </c>
      <c r="G22" s="10"/>
      <c r="H22" s="29" t="s">
        <v>199</v>
      </c>
      <c r="I22" s="157" t="s">
        <v>575</v>
      </c>
      <c r="J22" s="10" t="s">
        <v>350</v>
      </c>
      <c r="K22" s="30"/>
      <c r="L22" s="10" t="s">
        <v>576</v>
      </c>
      <c r="M22" s="11"/>
      <c r="N22" s="249"/>
      <c r="O22" s="157" t="s">
        <v>33</v>
      </c>
      <c r="P22" s="19" t="s">
        <v>153</v>
      </c>
      <c r="Q22" s="19">
        <v>300</v>
      </c>
      <c r="R22" s="13">
        <v>500000</v>
      </c>
      <c r="S22" s="19">
        <v>300000</v>
      </c>
      <c r="T22" s="80">
        <f t="shared" si="0"/>
        <v>800000</v>
      </c>
      <c r="U22" s="19"/>
      <c r="V22" s="19"/>
      <c r="W22" s="19" t="s">
        <v>350</v>
      </c>
      <c r="X22" s="19"/>
      <c r="Y22" s="165">
        <v>0.6</v>
      </c>
      <c r="Z22" s="376">
        <f>T22*60%</f>
        <v>480000</v>
      </c>
      <c r="AA22" s="19"/>
      <c r="AB22" s="414">
        <f t="shared" si="1"/>
        <v>544000</v>
      </c>
      <c r="AC22" s="615">
        <f t="shared" si="2"/>
        <v>64000</v>
      </c>
      <c r="AD22" s="19" t="s">
        <v>800</v>
      </c>
      <c r="AE22" s="23" t="s">
        <v>577</v>
      </c>
    </row>
    <row r="23" spans="1:31" ht="47.25" x14ac:dyDescent="0.25">
      <c r="A23" s="311">
        <v>20</v>
      </c>
      <c r="B23" s="122">
        <v>43680</v>
      </c>
      <c r="C23" s="256" t="s">
        <v>578</v>
      </c>
      <c r="D23" s="256"/>
      <c r="E23" s="256"/>
      <c r="F23" s="29" t="s">
        <v>579</v>
      </c>
      <c r="G23" s="10"/>
      <c r="H23" s="29" t="s">
        <v>273</v>
      </c>
      <c r="I23" s="157" t="s">
        <v>580</v>
      </c>
      <c r="J23" s="10" t="s">
        <v>309</v>
      </c>
      <c r="K23" s="30"/>
      <c r="L23" s="10" t="s">
        <v>581</v>
      </c>
      <c r="M23" s="11"/>
      <c r="N23" s="249"/>
      <c r="O23" s="157" t="s">
        <v>49</v>
      </c>
      <c r="P23" s="19" t="s">
        <v>153</v>
      </c>
      <c r="Q23" s="19">
        <v>300</v>
      </c>
      <c r="R23" s="13">
        <v>500000</v>
      </c>
      <c r="S23" s="19">
        <v>300000</v>
      </c>
      <c r="T23" s="11">
        <f t="shared" si="0"/>
        <v>800000</v>
      </c>
      <c r="U23" s="19"/>
      <c r="V23" s="19"/>
      <c r="W23" s="19" t="s">
        <v>309</v>
      </c>
      <c r="X23" s="19"/>
      <c r="Y23" s="165">
        <v>0.4</v>
      </c>
      <c r="Z23" s="376">
        <f>T23*40%</f>
        <v>320000</v>
      </c>
      <c r="AA23" s="19"/>
      <c r="AB23" s="376">
        <f t="shared" si="1"/>
        <v>544000</v>
      </c>
      <c r="AC23" s="376">
        <f t="shared" si="2"/>
        <v>224000</v>
      </c>
      <c r="AD23" s="19"/>
      <c r="AE23" s="23" t="s">
        <v>582</v>
      </c>
    </row>
    <row r="24" spans="1:31" ht="47.25" x14ac:dyDescent="0.25">
      <c r="A24" s="113">
        <v>21</v>
      </c>
      <c r="B24" s="10" t="s">
        <v>616</v>
      </c>
      <c r="C24" s="256" t="s">
        <v>617</v>
      </c>
      <c r="D24" s="256"/>
      <c r="E24" s="256"/>
      <c r="F24" s="29" t="s">
        <v>618</v>
      </c>
      <c r="G24" s="10"/>
      <c r="H24" s="29" t="s">
        <v>619</v>
      </c>
      <c r="I24" s="157" t="s">
        <v>620</v>
      </c>
      <c r="J24" s="10" t="s">
        <v>621</v>
      </c>
      <c r="K24" s="10"/>
      <c r="L24" s="10"/>
      <c r="M24" s="11"/>
      <c r="N24" s="398"/>
      <c r="O24" s="10" t="s">
        <v>39</v>
      </c>
      <c r="P24" s="19" t="s">
        <v>153</v>
      </c>
      <c r="Q24" s="19">
        <v>1000</v>
      </c>
      <c r="R24" s="13">
        <v>500000</v>
      </c>
      <c r="S24" s="26">
        <v>675000</v>
      </c>
      <c r="T24" s="19">
        <f t="shared" si="0"/>
        <v>1175000</v>
      </c>
      <c r="U24" s="19"/>
      <c r="V24" s="19"/>
      <c r="W24" s="19"/>
      <c r="X24" s="19"/>
      <c r="Y24" s="165"/>
      <c r="Z24" s="376"/>
      <c r="AA24" s="19"/>
      <c r="AB24" s="376">
        <f t="shared" si="1"/>
        <v>799000</v>
      </c>
      <c r="AC24" s="414">
        <f t="shared" si="2"/>
        <v>799000</v>
      </c>
      <c r="AD24" s="19" t="s">
        <v>663</v>
      </c>
      <c r="AE24" s="23" t="s">
        <v>582</v>
      </c>
    </row>
    <row r="25" spans="1:31" ht="47.25" x14ac:dyDescent="0.25">
      <c r="A25" s="74">
        <v>22</v>
      </c>
      <c r="B25" s="10" t="s">
        <v>628</v>
      </c>
      <c r="C25" s="256" t="s">
        <v>640</v>
      </c>
      <c r="D25" s="256"/>
      <c r="E25" s="256"/>
      <c r="F25" s="29" t="s">
        <v>631</v>
      </c>
      <c r="G25" s="10"/>
      <c r="H25" s="29" t="s">
        <v>246</v>
      </c>
      <c r="I25" s="157" t="s">
        <v>642</v>
      </c>
      <c r="J25" s="10" t="s">
        <v>361</v>
      </c>
      <c r="K25" s="10"/>
      <c r="L25" s="10" t="s">
        <v>643</v>
      </c>
      <c r="M25" s="11"/>
      <c r="N25" s="398" t="s">
        <v>641</v>
      </c>
      <c r="O25" s="157" t="s">
        <v>191</v>
      </c>
      <c r="P25" s="19" t="s">
        <v>153</v>
      </c>
      <c r="Q25" s="19">
        <v>500</v>
      </c>
      <c r="R25" s="13">
        <v>500000</v>
      </c>
      <c r="S25" s="26">
        <v>425000</v>
      </c>
      <c r="T25" s="19">
        <f t="shared" si="0"/>
        <v>925000</v>
      </c>
      <c r="U25" s="19"/>
      <c r="V25" s="19"/>
      <c r="W25" s="19"/>
      <c r="X25" s="19"/>
      <c r="Y25" s="165">
        <v>0.4</v>
      </c>
      <c r="Z25" s="376">
        <f>T25*40%</f>
        <v>370000</v>
      </c>
      <c r="AA25" s="247"/>
      <c r="AB25" s="376">
        <f t="shared" si="1"/>
        <v>629000</v>
      </c>
      <c r="AC25" s="414">
        <f t="shared" si="2"/>
        <v>259000</v>
      </c>
      <c r="AD25" s="19">
        <v>550000</v>
      </c>
      <c r="AE25" s="23" t="s">
        <v>582</v>
      </c>
    </row>
    <row r="26" spans="1:31" ht="47.25" x14ac:dyDescent="0.25">
      <c r="A26" s="311">
        <v>23</v>
      </c>
      <c r="B26" s="10" t="s">
        <v>648</v>
      </c>
      <c r="C26" s="256" t="s">
        <v>649</v>
      </c>
      <c r="D26" s="256"/>
      <c r="E26" s="256"/>
      <c r="F26" s="29" t="s">
        <v>597</v>
      </c>
      <c r="G26" s="10"/>
      <c r="H26" s="29" t="s">
        <v>659</v>
      </c>
      <c r="I26" s="157" t="s">
        <v>652</v>
      </c>
      <c r="J26" s="10" t="s">
        <v>660</v>
      </c>
      <c r="K26" s="208" t="s">
        <v>654</v>
      </c>
      <c r="L26" s="10" t="s">
        <v>661</v>
      </c>
      <c r="M26" s="11"/>
      <c r="N26" s="249"/>
      <c r="O26" s="10" t="s">
        <v>33</v>
      </c>
      <c r="P26" s="19" t="s">
        <v>153</v>
      </c>
      <c r="Q26" s="19">
        <v>300</v>
      </c>
      <c r="R26" s="13">
        <v>500000</v>
      </c>
      <c r="S26" s="19">
        <v>300000</v>
      </c>
      <c r="T26" s="19">
        <f t="shared" si="0"/>
        <v>800000</v>
      </c>
      <c r="U26" s="19"/>
      <c r="V26" s="19"/>
      <c r="W26" s="19"/>
      <c r="X26" s="19"/>
      <c r="Y26" s="165">
        <v>0.4</v>
      </c>
      <c r="Z26" s="376">
        <f>T26*40%</f>
        <v>320000</v>
      </c>
      <c r="AA26" s="19"/>
      <c r="AB26" s="376">
        <f t="shared" si="1"/>
        <v>544000</v>
      </c>
      <c r="AC26" s="414">
        <f t="shared" si="2"/>
        <v>224000</v>
      </c>
      <c r="AD26" s="19" t="s">
        <v>672</v>
      </c>
    </row>
    <row r="27" spans="1:31" ht="47.25" x14ac:dyDescent="0.25">
      <c r="A27" s="113">
        <v>24</v>
      </c>
      <c r="B27" s="10" t="s">
        <v>664</v>
      </c>
      <c r="C27" s="256" t="s">
        <v>665</v>
      </c>
      <c r="D27" s="256"/>
      <c r="E27" s="256"/>
      <c r="F27" s="29" t="s">
        <v>666</v>
      </c>
      <c r="G27" s="10"/>
      <c r="H27" s="29" t="s">
        <v>273</v>
      </c>
      <c r="I27" s="157" t="s">
        <v>667</v>
      </c>
      <c r="J27" s="10" t="s">
        <v>28</v>
      </c>
      <c r="K27" s="208" t="s">
        <v>172</v>
      </c>
      <c r="L27" s="10" t="s">
        <v>668</v>
      </c>
      <c r="M27" s="11"/>
      <c r="N27" s="249"/>
      <c r="O27" s="157" t="s">
        <v>191</v>
      </c>
      <c r="P27" s="19" t="s">
        <v>153</v>
      </c>
      <c r="Q27" s="19">
        <v>300</v>
      </c>
      <c r="R27" s="13">
        <v>500000</v>
      </c>
      <c r="S27" s="19">
        <v>300000</v>
      </c>
      <c r="T27" s="19">
        <f t="shared" si="0"/>
        <v>800000</v>
      </c>
      <c r="U27" s="19"/>
      <c r="V27" s="19"/>
      <c r="W27" s="19"/>
      <c r="X27" s="19"/>
      <c r="Y27" s="165">
        <v>0.4</v>
      </c>
      <c r="Z27" s="376">
        <f>T27*40%</f>
        <v>320000</v>
      </c>
      <c r="AA27" s="19"/>
      <c r="AB27" s="376">
        <f t="shared" si="1"/>
        <v>544000</v>
      </c>
      <c r="AC27" s="414">
        <f t="shared" si="2"/>
        <v>224000</v>
      </c>
      <c r="AD27" s="19" t="s">
        <v>743</v>
      </c>
      <c r="AE27" s="23" t="s">
        <v>582</v>
      </c>
    </row>
    <row r="28" spans="1:31" ht="47.25" x14ac:dyDescent="0.25">
      <c r="A28" s="74">
        <v>25</v>
      </c>
      <c r="B28" s="122">
        <v>43500</v>
      </c>
      <c r="C28" s="250" t="s">
        <v>682</v>
      </c>
      <c r="D28" s="250"/>
      <c r="E28" s="250"/>
      <c r="F28" s="29" t="s">
        <v>683</v>
      </c>
      <c r="G28" s="10"/>
      <c r="H28" s="29" t="s">
        <v>345</v>
      </c>
      <c r="I28" s="157" t="s">
        <v>684</v>
      </c>
      <c r="J28" s="10" t="s">
        <v>350</v>
      </c>
      <c r="K28" s="208" t="s">
        <v>685</v>
      </c>
      <c r="L28" s="10" t="s">
        <v>686</v>
      </c>
      <c r="M28" s="11"/>
      <c r="N28" s="398" t="s">
        <v>687</v>
      </c>
      <c r="O28" s="10" t="s">
        <v>33</v>
      </c>
      <c r="P28" s="19" t="s">
        <v>153</v>
      </c>
      <c r="Q28" s="19">
        <v>300</v>
      </c>
      <c r="R28" s="13">
        <v>500000</v>
      </c>
      <c r="S28" s="19">
        <v>300000</v>
      </c>
      <c r="T28" s="19">
        <f t="shared" si="0"/>
        <v>800000</v>
      </c>
      <c r="U28" s="19"/>
      <c r="V28" s="19"/>
      <c r="W28" s="19"/>
      <c r="X28" s="19"/>
      <c r="Y28" s="165">
        <v>0.6</v>
      </c>
      <c r="Z28" s="376">
        <f>T28*60%</f>
        <v>480000</v>
      </c>
      <c r="AA28" s="19"/>
      <c r="AB28" s="376">
        <f t="shared" si="1"/>
        <v>544000</v>
      </c>
      <c r="AC28" s="376">
        <f t="shared" si="2"/>
        <v>64000</v>
      </c>
      <c r="AD28" s="19" t="s">
        <v>791</v>
      </c>
      <c r="AE28" s="23" t="s">
        <v>577</v>
      </c>
    </row>
    <row r="29" spans="1:31" ht="47.25" x14ac:dyDescent="0.25">
      <c r="A29" s="311">
        <v>26</v>
      </c>
      <c r="B29" s="10" t="s">
        <v>786</v>
      </c>
      <c r="C29" s="250" t="s">
        <v>792</v>
      </c>
      <c r="D29" s="250"/>
      <c r="E29" s="250"/>
      <c r="F29" s="175" t="s">
        <v>793</v>
      </c>
      <c r="G29" s="10"/>
      <c r="H29" s="29" t="s">
        <v>794</v>
      </c>
      <c r="I29" s="157" t="s">
        <v>795</v>
      </c>
      <c r="J29" s="10" t="s">
        <v>796</v>
      </c>
      <c r="K29" s="310" t="s">
        <v>797</v>
      </c>
      <c r="L29" s="10" t="s">
        <v>798</v>
      </c>
      <c r="M29" s="11"/>
      <c r="N29" s="398" t="s">
        <v>810</v>
      </c>
      <c r="O29" s="10" t="s">
        <v>33</v>
      </c>
      <c r="P29" s="19" t="s">
        <v>153</v>
      </c>
      <c r="Q29" s="19">
        <v>300</v>
      </c>
      <c r="R29" s="13">
        <v>500000</v>
      </c>
      <c r="S29" s="19">
        <v>300000</v>
      </c>
      <c r="T29" s="19">
        <f t="shared" si="0"/>
        <v>800000</v>
      </c>
      <c r="U29" s="19"/>
      <c r="V29" s="19"/>
      <c r="W29" s="19"/>
      <c r="X29" s="19"/>
      <c r="Y29" s="165">
        <v>0.4</v>
      </c>
      <c r="Z29" s="376">
        <f>T29*40%</f>
        <v>320000</v>
      </c>
      <c r="AA29" s="19"/>
      <c r="AB29" s="376">
        <f t="shared" si="1"/>
        <v>544000</v>
      </c>
      <c r="AC29" s="376">
        <f t="shared" si="2"/>
        <v>224000</v>
      </c>
      <c r="AD29" s="19" t="s">
        <v>873</v>
      </c>
      <c r="AE29" s="23" t="s">
        <v>577</v>
      </c>
    </row>
    <row r="30" spans="1:31" ht="47.25" x14ac:dyDescent="0.25">
      <c r="A30" s="113">
        <v>27</v>
      </c>
      <c r="B30" s="10" t="s">
        <v>803</v>
      </c>
      <c r="C30" s="250" t="s">
        <v>804</v>
      </c>
      <c r="D30" s="250"/>
      <c r="E30" s="250"/>
      <c r="F30" s="29" t="s">
        <v>805</v>
      </c>
      <c r="G30" s="10"/>
      <c r="H30" s="29" t="s">
        <v>807</v>
      </c>
      <c r="I30" s="157" t="s">
        <v>806</v>
      </c>
      <c r="J30" s="10" t="s">
        <v>846</v>
      </c>
      <c r="K30" s="310" t="s">
        <v>808</v>
      </c>
      <c r="L30" s="10" t="s">
        <v>809</v>
      </c>
      <c r="M30" s="11"/>
      <c r="N30" s="398" t="s">
        <v>844</v>
      </c>
      <c r="O30" s="10" t="s">
        <v>191</v>
      </c>
      <c r="P30" s="19" t="s">
        <v>153</v>
      </c>
      <c r="Q30" s="19">
        <v>300</v>
      </c>
      <c r="R30" s="13">
        <v>500000</v>
      </c>
      <c r="S30" s="19">
        <v>425000</v>
      </c>
      <c r="T30" s="19">
        <f t="shared" si="0"/>
        <v>925000</v>
      </c>
      <c r="U30" s="19"/>
      <c r="V30" s="19"/>
      <c r="W30" s="19"/>
      <c r="X30" s="19"/>
      <c r="Y30" s="165">
        <v>0.4</v>
      </c>
      <c r="Z30" s="376">
        <f>T30*40%</f>
        <v>370000</v>
      </c>
      <c r="AA30" s="19"/>
      <c r="AB30" s="376">
        <f t="shared" si="1"/>
        <v>629000</v>
      </c>
      <c r="AC30" s="376">
        <f t="shared" si="2"/>
        <v>259000</v>
      </c>
      <c r="AD30" s="19" t="s">
        <v>663</v>
      </c>
      <c r="AE30" s="23" t="s">
        <v>577</v>
      </c>
    </row>
    <row r="31" spans="1:31" ht="47.25" x14ac:dyDescent="0.25">
      <c r="A31" s="74">
        <v>28</v>
      </c>
      <c r="B31" s="122">
        <v>43501</v>
      </c>
      <c r="C31" s="250" t="s">
        <v>838</v>
      </c>
      <c r="D31" s="250"/>
      <c r="E31" s="250"/>
      <c r="F31" s="175" t="s">
        <v>839</v>
      </c>
      <c r="G31" s="10"/>
      <c r="H31" s="29" t="s">
        <v>840</v>
      </c>
      <c r="I31" s="157" t="s">
        <v>841</v>
      </c>
      <c r="J31" s="10" t="s">
        <v>842</v>
      </c>
      <c r="K31" s="10" t="s">
        <v>20</v>
      </c>
      <c r="L31" s="10" t="s">
        <v>843</v>
      </c>
      <c r="M31" s="11"/>
      <c r="N31" s="398" t="s">
        <v>799</v>
      </c>
      <c r="O31" s="10" t="s">
        <v>39</v>
      </c>
      <c r="P31" s="19" t="s">
        <v>153</v>
      </c>
      <c r="Q31" s="19">
        <v>1000</v>
      </c>
      <c r="R31" s="13">
        <v>500000</v>
      </c>
      <c r="S31" s="19">
        <v>675000</v>
      </c>
      <c r="T31" s="19">
        <f t="shared" si="0"/>
        <v>1175000</v>
      </c>
      <c r="U31" s="19"/>
      <c r="V31" s="19"/>
      <c r="W31" s="19"/>
      <c r="X31" s="19"/>
      <c r="Y31" s="19"/>
      <c r="Z31" s="376">
        <v>275000</v>
      </c>
      <c r="AA31" s="19"/>
      <c r="AB31" s="376">
        <f t="shared" si="1"/>
        <v>799000</v>
      </c>
      <c r="AC31" s="376">
        <f t="shared" ref="AC31:AC97" si="4">AB31-Z31</f>
        <v>524000</v>
      </c>
      <c r="AD31" s="19" t="s">
        <v>900</v>
      </c>
      <c r="AE31" s="23" t="s">
        <v>845</v>
      </c>
    </row>
    <row r="32" spans="1:31" ht="47.25" x14ac:dyDescent="0.25">
      <c r="A32" s="311">
        <v>29</v>
      </c>
      <c r="B32" s="122">
        <v>43621</v>
      </c>
      <c r="C32" s="250" t="s">
        <v>847</v>
      </c>
      <c r="D32" s="250"/>
      <c r="E32" s="250"/>
      <c r="F32" s="29" t="s">
        <v>848</v>
      </c>
      <c r="G32" s="10"/>
      <c r="H32" s="29" t="s">
        <v>849</v>
      </c>
      <c r="I32" s="157" t="s">
        <v>850</v>
      </c>
      <c r="J32" s="10" t="s">
        <v>851</v>
      </c>
      <c r="K32" s="10" t="s">
        <v>852</v>
      </c>
      <c r="L32" s="10" t="s">
        <v>853</v>
      </c>
      <c r="M32" s="11"/>
      <c r="N32" s="398" t="s">
        <v>854</v>
      </c>
      <c r="O32" s="10" t="s">
        <v>33</v>
      </c>
      <c r="P32" s="19" t="s">
        <v>153</v>
      </c>
      <c r="Q32" s="19">
        <v>300</v>
      </c>
      <c r="R32" s="13">
        <v>500000</v>
      </c>
      <c r="S32" s="19">
        <v>300000</v>
      </c>
      <c r="T32" s="19">
        <f t="shared" si="0"/>
        <v>800000</v>
      </c>
      <c r="U32" s="19"/>
      <c r="V32" s="19"/>
      <c r="W32" s="19"/>
      <c r="X32" s="19"/>
      <c r="Y32" s="165">
        <v>0.4</v>
      </c>
      <c r="Z32" s="376">
        <f>T32*0.4</f>
        <v>320000</v>
      </c>
      <c r="AA32" s="19"/>
      <c r="AB32" s="376">
        <f t="shared" si="1"/>
        <v>544000</v>
      </c>
      <c r="AC32" s="376">
        <f t="shared" si="4"/>
        <v>224000</v>
      </c>
      <c r="AD32" s="19" t="s">
        <v>887</v>
      </c>
      <c r="AE32" s="23" t="s">
        <v>577</v>
      </c>
    </row>
    <row r="33" spans="1:32" ht="63" x14ac:dyDescent="0.25">
      <c r="A33" s="113">
        <v>30</v>
      </c>
      <c r="B33" s="122">
        <v>43621</v>
      </c>
      <c r="C33" s="250" t="s">
        <v>865</v>
      </c>
      <c r="D33" s="250"/>
      <c r="E33" s="250"/>
      <c r="F33" s="29" t="s">
        <v>867</v>
      </c>
      <c r="G33" s="10"/>
      <c r="H33" s="29" t="s">
        <v>199</v>
      </c>
      <c r="I33" s="157" t="s">
        <v>868</v>
      </c>
      <c r="J33" s="10" t="s">
        <v>869</v>
      </c>
      <c r="K33" s="208" t="s">
        <v>870</v>
      </c>
      <c r="L33" s="10" t="s">
        <v>871</v>
      </c>
      <c r="M33" s="11"/>
      <c r="N33" s="398" t="s">
        <v>872</v>
      </c>
      <c r="O33" s="10" t="s">
        <v>191</v>
      </c>
      <c r="P33" s="19" t="s">
        <v>153</v>
      </c>
      <c r="Q33" s="19">
        <v>500</v>
      </c>
      <c r="R33" s="13">
        <v>500000</v>
      </c>
      <c r="S33" s="19">
        <v>425000</v>
      </c>
      <c r="T33" s="19">
        <f t="shared" si="0"/>
        <v>925000</v>
      </c>
      <c r="U33" s="19"/>
      <c r="V33" s="19"/>
      <c r="W33" s="19"/>
      <c r="X33" s="19"/>
      <c r="Y33" s="165">
        <v>0.3</v>
      </c>
      <c r="Z33" s="376">
        <f>T33*0.3</f>
        <v>277500</v>
      </c>
      <c r="AA33" s="19"/>
      <c r="AB33" s="376">
        <f t="shared" si="1"/>
        <v>629000</v>
      </c>
      <c r="AC33" s="376">
        <f t="shared" si="4"/>
        <v>351500</v>
      </c>
      <c r="AD33" s="19" t="s">
        <v>897</v>
      </c>
      <c r="AE33" s="23" t="s">
        <v>577</v>
      </c>
    </row>
    <row r="34" spans="1:32" ht="47.25" x14ac:dyDescent="0.25">
      <c r="A34" s="74">
        <v>31</v>
      </c>
      <c r="B34" s="122">
        <v>43743</v>
      </c>
      <c r="C34" s="250" t="s">
        <v>824</v>
      </c>
      <c r="D34" s="250"/>
      <c r="E34" s="250"/>
      <c r="F34" s="29" t="s">
        <v>825</v>
      </c>
      <c r="G34" s="10"/>
      <c r="H34" s="29" t="s">
        <v>888</v>
      </c>
      <c r="I34" s="157" t="s">
        <v>826</v>
      </c>
      <c r="J34" s="10" t="s">
        <v>361</v>
      </c>
      <c r="K34" s="10" t="s">
        <v>889</v>
      </c>
      <c r="L34" s="10" t="s">
        <v>890</v>
      </c>
      <c r="M34" s="11"/>
      <c r="N34" s="398" t="s">
        <v>891</v>
      </c>
      <c r="O34" s="10" t="s">
        <v>33</v>
      </c>
      <c r="P34" s="19" t="s">
        <v>153</v>
      </c>
      <c r="Q34" s="19">
        <v>300</v>
      </c>
      <c r="R34" s="13">
        <v>500000</v>
      </c>
      <c r="S34" s="19">
        <v>300000</v>
      </c>
      <c r="T34" s="19">
        <f t="shared" si="0"/>
        <v>800000</v>
      </c>
      <c r="U34" s="19"/>
      <c r="V34" s="19"/>
      <c r="W34" s="19"/>
      <c r="X34" s="19"/>
      <c r="Y34" s="165">
        <v>0.4</v>
      </c>
      <c r="Z34" s="376">
        <f>T34*0.4</f>
        <v>320000</v>
      </c>
      <c r="AA34" s="19"/>
      <c r="AB34" s="376">
        <f t="shared" si="1"/>
        <v>544000</v>
      </c>
      <c r="AC34" s="376">
        <f t="shared" si="4"/>
        <v>224000</v>
      </c>
      <c r="AD34" s="19" t="s">
        <v>1224</v>
      </c>
    </row>
    <row r="35" spans="1:32" ht="47.25" x14ac:dyDescent="0.25">
      <c r="A35" s="311">
        <v>32</v>
      </c>
      <c r="B35" s="122">
        <v>43743</v>
      </c>
      <c r="C35" s="250" t="s">
        <v>830</v>
      </c>
      <c r="D35" s="250"/>
      <c r="E35" s="250"/>
      <c r="F35" s="29" t="s">
        <v>831</v>
      </c>
      <c r="G35" s="10"/>
      <c r="H35" s="29" t="s">
        <v>888</v>
      </c>
      <c r="I35" s="157" t="s">
        <v>826</v>
      </c>
      <c r="J35" s="10" t="s">
        <v>361</v>
      </c>
      <c r="K35" s="10" t="s">
        <v>889</v>
      </c>
      <c r="L35" s="10" t="s">
        <v>890</v>
      </c>
      <c r="M35" s="11"/>
      <c r="N35" s="398" t="s">
        <v>892</v>
      </c>
      <c r="O35" s="10" t="s">
        <v>33</v>
      </c>
      <c r="P35" s="19" t="s">
        <v>153</v>
      </c>
      <c r="Q35" s="19">
        <v>300</v>
      </c>
      <c r="R35" s="13">
        <v>500000</v>
      </c>
      <c r="S35" s="19">
        <v>300000</v>
      </c>
      <c r="T35" s="19">
        <f t="shared" si="0"/>
        <v>800000</v>
      </c>
      <c r="U35" s="19"/>
      <c r="V35" s="19"/>
      <c r="W35" s="19"/>
      <c r="X35" s="19"/>
      <c r="Y35" s="165">
        <v>0.4</v>
      </c>
      <c r="Z35" s="376">
        <f>T35*0.4</f>
        <v>320000</v>
      </c>
      <c r="AA35" s="19"/>
      <c r="AB35" s="376">
        <f t="shared" si="1"/>
        <v>544000</v>
      </c>
      <c r="AC35" s="376">
        <f t="shared" si="4"/>
        <v>224000</v>
      </c>
      <c r="AD35" s="19" t="s">
        <v>1224</v>
      </c>
    </row>
    <row r="36" spans="1:32" ht="47.25" x14ac:dyDescent="0.25">
      <c r="A36" s="113">
        <v>33</v>
      </c>
      <c r="B36" s="122">
        <v>43743</v>
      </c>
      <c r="C36" s="250" t="s">
        <v>893</v>
      </c>
      <c r="D36" s="250"/>
      <c r="E36" s="250"/>
      <c r="F36" s="29" t="s">
        <v>894</v>
      </c>
      <c r="G36" s="10"/>
      <c r="H36" s="29" t="s">
        <v>888</v>
      </c>
      <c r="I36" s="157" t="s">
        <v>826</v>
      </c>
      <c r="J36" s="10" t="s">
        <v>361</v>
      </c>
      <c r="K36" s="10" t="s">
        <v>889</v>
      </c>
      <c r="L36" s="10" t="s">
        <v>890</v>
      </c>
      <c r="M36" s="11"/>
      <c r="N36" s="398" t="s">
        <v>895</v>
      </c>
      <c r="O36" s="10" t="s">
        <v>33</v>
      </c>
      <c r="P36" s="19" t="s">
        <v>153</v>
      </c>
      <c r="Q36" s="19">
        <v>300</v>
      </c>
      <c r="R36" s="13">
        <v>500000</v>
      </c>
      <c r="S36" s="19">
        <v>300000</v>
      </c>
      <c r="T36" s="19">
        <f t="shared" si="0"/>
        <v>800000</v>
      </c>
      <c r="U36" s="19"/>
      <c r="V36" s="19"/>
      <c r="W36" s="19"/>
      <c r="X36" s="19"/>
      <c r="Y36" s="165">
        <v>0.4</v>
      </c>
      <c r="Z36" s="376">
        <f>T36*0.4</f>
        <v>320000</v>
      </c>
      <c r="AA36" s="19"/>
      <c r="AB36" s="376">
        <f t="shared" si="1"/>
        <v>544000</v>
      </c>
      <c r="AC36" s="376">
        <f t="shared" si="4"/>
        <v>224000</v>
      </c>
      <c r="AD36" s="19" t="s">
        <v>1224</v>
      </c>
    </row>
    <row r="37" spans="1:32" ht="63" x14ac:dyDescent="0.25">
      <c r="A37" s="74">
        <v>34</v>
      </c>
      <c r="B37" s="10" t="s">
        <v>917</v>
      </c>
      <c r="C37" s="250" t="s">
        <v>925</v>
      </c>
      <c r="D37" s="250" t="s">
        <v>562</v>
      </c>
      <c r="E37" s="250"/>
      <c r="F37" s="29" t="s">
        <v>926</v>
      </c>
      <c r="G37" s="10"/>
      <c r="H37" s="29" t="s">
        <v>927</v>
      </c>
      <c r="I37" s="157" t="s">
        <v>928</v>
      </c>
      <c r="J37" s="10" t="s">
        <v>929</v>
      </c>
      <c r="K37" s="10" t="s">
        <v>930</v>
      </c>
      <c r="L37" s="10" t="s">
        <v>931</v>
      </c>
      <c r="M37" s="11"/>
      <c r="N37" s="398" t="s">
        <v>932</v>
      </c>
      <c r="O37" s="10" t="s">
        <v>33</v>
      </c>
      <c r="P37" s="19" t="s">
        <v>153</v>
      </c>
      <c r="Q37" s="19">
        <v>300</v>
      </c>
      <c r="R37" s="13">
        <v>500000</v>
      </c>
      <c r="S37" s="19">
        <v>300000</v>
      </c>
      <c r="T37" s="19">
        <f t="shared" si="0"/>
        <v>800000</v>
      </c>
      <c r="U37" s="19"/>
      <c r="V37" s="19"/>
      <c r="W37" s="19"/>
      <c r="X37" s="19"/>
      <c r="Y37" s="165">
        <v>0.4</v>
      </c>
      <c r="Z37" s="376">
        <f>T37*0.4</f>
        <v>320000</v>
      </c>
      <c r="AA37" s="19"/>
      <c r="AB37" s="376">
        <f t="shared" si="1"/>
        <v>544000</v>
      </c>
      <c r="AC37" s="376">
        <f t="shared" si="4"/>
        <v>224000</v>
      </c>
      <c r="AD37" s="19" t="s">
        <v>1027</v>
      </c>
      <c r="AE37" s="23" t="s">
        <v>933</v>
      </c>
    </row>
    <row r="38" spans="1:32" ht="47.25" x14ac:dyDescent="0.25">
      <c r="A38" s="311">
        <v>35</v>
      </c>
      <c r="B38" s="10" t="s">
        <v>974</v>
      </c>
      <c r="C38" s="250" t="s">
        <v>975</v>
      </c>
      <c r="D38" s="250" t="s">
        <v>976</v>
      </c>
      <c r="E38" s="573"/>
      <c r="F38" s="321" t="s">
        <v>977</v>
      </c>
      <c r="G38" s="10"/>
      <c r="H38" s="29" t="s">
        <v>246</v>
      </c>
      <c r="I38" s="157" t="s">
        <v>978</v>
      </c>
      <c r="J38" s="37" t="s">
        <v>979</v>
      </c>
      <c r="K38" s="10" t="s">
        <v>980</v>
      </c>
      <c r="L38" s="10" t="s">
        <v>981</v>
      </c>
      <c r="M38" s="11"/>
      <c r="N38" s="398" t="s">
        <v>982</v>
      </c>
      <c r="O38" s="10" t="s">
        <v>191</v>
      </c>
      <c r="P38" s="19" t="s">
        <v>153</v>
      </c>
      <c r="Q38" s="19">
        <v>500</v>
      </c>
      <c r="R38" s="13">
        <v>500000</v>
      </c>
      <c r="S38" s="19">
        <v>425000</v>
      </c>
      <c r="T38" s="19">
        <f t="shared" si="0"/>
        <v>925000</v>
      </c>
      <c r="U38" s="19"/>
      <c r="V38" s="19"/>
      <c r="W38" s="19"/>
      <c r="X38" s="19"/>
      <c r="Y38" s="165">
        <v>0.3</v>
      </c>
      <c r="Z38" s="376">
        <f>T38*Y38</f>
        <v>277500</v>
      </c>
      <c r="AA38" s="19"/>
      <c r="AB38" s="376">
        <f t="shared" si="1"/>
        <v>629000</v>
      </c>
      <c r="AC38" s="376">
        <f t="shared" si="4"/>
        <v>351500</v>
      </c>
      <c r="AD38" s="19" t="s">
        <v>1008</v>
      </c>
      <c r="AE38" s="23" t="s">
        <v>933</v>
      </c>
    </row>
    <row r="39" spans="1:32" s="309" customFormat="1" ht="45" x14ac:dyDescent="0.25">
      <c r="A39" s="113">
        <v>36</v>
      </c>
      <c r="B39" s="298" t="s">
        <v>1003</v>
      </c>
      <c r="C39" s="301" t="s">
        <v>1004</v>
      </c>
      <c r="D39" s="323" t="s">
        <v>1020</v>
      </c>
      <c r="E39" s="323"/>
      <c r="F39" s="323" t="s">
        <v>1019</v>
      </c>
      <c r="G39" s="302" t="s">
        <v>1005</v>
      </c>
      <c r="H39" s="324" t="s">
        <v>168</v>
      </c>
      <c r="I39" s="55" t="s">
        <v>1018</v>
      </c>
      <c r="J39" s="56" t="s">
        <v>1021</v>
      </c>
      <c r="K39" s="298" t="s">
        <v>1022</v>
      </c>
      <c r="L39" s="298" t="s">
        <v>1023</v>
      </c>
      <c r="M39" s="305"/>
      <c r="N39" s="400" t="s">
        <v>1024</v>
      </c>
      <c r="O39" s="305" t="s">
        <v>39</v>
      </c>
      <c r="P39" s="305" t="s">
        <v>153</v>
      </c>
      <c r="Q39" s="298">
        <v>1000</v>
      </c>
      <c r="R39" s="298">
        <v>500000</v>
      </c>
      <c r="S39" s="298">
        <v>675000</v>
      </c>
      <c r="T39" s="305">
        <f t="shared" si="0"/>
        <v>1175000</v>
      </c>
      <c r="U39" s="298"/>
      <c r="V39" s="298"/>
      <c r="W39" s="298"/>
      <c r="X39" s="298"/>
      <c r="Y39" s="307">
        <v>0.35</v>
      </c>
      <c r="Z39" s="376">
        <f>T39*Y39</f>
        <v>411250</v>
      </c>
      <c r="AA39" s="10"/>
      <c r="AB39" s="612">
        <f t="shared" si="1"/>
        <v>799000</v>
      </c>
      <c r="AC39" s="616">
        <f t="shared" si="4"/>
        <v>387750</v>
      </c>
      <c r="AD39" s="309" t="s">
        <v>1026</v>
      </c>
      <c r="AE39" s="309" t="s">
        <v>864</v>
      </c>
    </row>
    <row r="40" spans="1:32" s="217" customFormat="1" ht="45" x14ac:dyDescent="0.25">
      <c r="A40" s="74">
        <v>37</v>
      </c>
      <c r="B40" s="239">
        <v>43591</v>
      </c>
      <c r="C40" s="344" t="s">
        <v>1028</v>
      </c>
      <c r="D40" s="256" t="s">
        <v>562</v>
      </c>
      <c r="E40" s="574"/>
      <c r="F40" s="344" t="s">
        <v>1029</v>
      </c>
      <c r="G40" s="220"/>
      <c r="H40" s="244" t="s">
        <v>1030</v>
      </c>
      <c r="I40" s="345" t="s">
        <v>1031</v>
      </c>
      <c r="J40" s="220" t="s">
        <v>1032</v>
      </c>
      <c r="K40" s="220" t="s">
        <v>1033</v>
      </c>
      <c r="L40" s="346" t="s">
        <v>1034</v>
      </c>
      <c r="M40" s="214"/>
      <c r="N40" s="401" t="s">
        <v>1035</v>
      </c>
      <c r="O40" s="347" t="s">
        <v>1036</v>
      </c>
      <c r="P40" s="220" t="s">
        <v>153</v>
      </c>
      <c r="Q40" s="220">
        <v>2000</v>
      </c>
      <c r="R40" s="214">
        <v>500000</v>
      </c>
      <c r="S40" s="220">
        <v>1100000</v>
      </c>
      <c r="T40" s="348">
        <f t="shared" si="0"/>
        <v>1600000</v>
      </c>
      <c r="U40" s="220"/>
      <c r="V40" s="220"/>
      <c r="W40" s="220"/>
      <c r="X40" s="220"/>
      <c r="Y40" s="243">
        <v>0.4</v>
      </c>
      <c r="Z40" s="376">
        <f>T40*Y40</f>
        <v>640000</v>
      </c>
      <c r="AA40" s="220"/>
      <c r="AB40" s="612">
        <f t="shared" si="1"/>
        <v>1088000</v>
      </c>
      <c r="AC40" s="616">
        <f t="shared" si="4"/>
        <v>448000</v>
      </c>
      <c r="AD40" s="220" t="s">
        <v>1196</v>
      </c>
      <c r="AE40" s="217" t="s">
        <v>864</v>
      </c>
    </row>
    <row r="41" spans="1:32" ht="47.25" x14ac:dyDescent="0.25">
      <c r="A41" s="311">
        <v>38</v>
      </c>
      <c r="B41" s="23" t="s">
        <v>1058</v>
      </c>
      <c r="C41" s="163" t="s">
        <v>1059</v>
      </c>
      <c r="D41" s="163" t="s">
        <v>1013</v>
      </c>
      <c r="F41" s="27" t="s">
        <v>1061</v>
      </c>
      <c r="H41" s="27" t="s">
        <v>807</v>
      </c>
      <c r="I41" s="163" t="s">
        <v>1060</v>
      </c>
      <c r="J41" s="7" t="s">
        <v>851</v>
      </c>
      <c r="L41" s="23" t="s">
        <v>1062</v>
      </c>
      <c r="N41" s="402" t="s">
        <v>1063</v>
      </c>
      <c r="O41" s="23" t="s">
        <v>33</v>
      </c>
      <c r="P41" s="23" t="s">
        <v>153</v>
      </c>
      <c r="Q41" s="23">
        <v>300</v>
      </c>
      <c r="R41" s="28">
        <v>500000</v>
      </c>
      <c r="S41" s="23">
        <v>300000</v>
      </c>
      <c r="T41" s="305">
        <f t="shared" si="0"/>
        <v>800000</v>
      </c>
      <c r="Y41" s="165">
        <v>0.4</v>
      </c>
      <c r="Z41" s="376">
        <f t="shared" ref="Z41:Z85" si="5">T41*Y41</f>
        <v>320000</v>
      </c>
      <c r="AB41" s="612">
        <f t="shared" si="1"/>
        <v>544000</v>
      </c>
      <c r="AC41" s="616">
        <f t="shared" si="4"/>
        <v>224000</v>
      </c>
      <c r="AD41" s="23" t="s">
        <v>1328</v>
      </c>
      <c r="AE41" s="23" t="s">
        <v>864</v>
      </c>
    </row>
    <row r="42" spans="1:32" s="7" customFormat="1" ht="63" x14ac:dyDescent="0.25">
      <c r="A42" s="113">
        <v>39</v>
      </c>
      <c r="B42" s="10" t="s">
        <v>1108</v>
      </c>
      <c r="C42" s="250" t="s">
        <v>1109</v>
      </c>
      <c r="D42" s="250" t="s">
        <v>1110</v>
      </c>
      <c r="E42" s="250"/>
      <c r="F42" s="29" t="s">
        <v>1111</v>
      </c>
      <c r="G42" s="10"/>
      <c r="H42" s="29" t="s">
        <v>345</v>
      </c>
      <c r="I42" s="157" t="s">
        <v>1112</v>
      </c>
      <c r="J42" s="10" t="s">
        <v>1126</v>
      </c>
      <c r="K42" s="10" t="s">
        <v>1129</v>
      </c>
      <c r="L42" s="10" t="s">
        <v>1113</v>
      </c>
      <c r="M42" s="11"/>
      <c r="N42" s="402" t="s">
        <v>1127</v>
      </c>
      <c r="O42" s="7" t="s">
        <v>33</v>
      </c>
      <c r="P42" s="7" t="s">
        <v>153</v>
      </c>
      <c r="Q42" s="7">
        <v>300</v>
      </c>
      <c r="R42" s="32">
        <v>500000</v>
      </c>
      <c r="S42" s="7">
        <v>300000</v>
      </c>
      <c r="T42" s="341">
        <f t="shared" si="0"/>
        <v>800000</v>
      </c>
      <c r="U42" s="10"/>
      <c r="V42" s="10"/>
      <c r="W42" s="10"/>
      <c r="X42" s="10"/>
      <c r="Y42" s="98">
        <v>0.45</v>
      </c>
      <c r="Z42" s="376">
        <f>T42*Y42</f>
        <v>360000</v>
      </c>
      <c r="AA42" s="10"/>
      <c r="AB42" s="612">
        <f t="shared" si="1"/>
        <v>544000</v>
      </c>
      <c r="AC42" s="617">
        <f t="shared" si="4"/>
        <v>184000</v>
      </c>
      <c r="AD42" s="10" t="s">
        <v>1244</v>
      </c>
      <c r="AE42" s="7" t="s">
        <v>577</v>
      </c>
    </row>
    <row r="43" spans="1:32" s="7" customFormat="1" ht="47.25" x14ac:dyDescent="0.25">
      <c r="A43" s="74">
        <v>40</v>
      </c>
      <c r="B43" s="10" t="s">
        <v>1108</v>
      </c>
      <c r="C43" s="250" t="s">
        <v>1114</v>
      </c>
      <c r="D43" s="250" t="s">
        <v>1115</v>
      </c>
      <c r="E43" s="250"/>
      <c r="F43" s="29" t="s">
        <v>1116</v>
      </c>
      <c r="G43" s="10"/>
      <c r="H43" s="29" t="s">
        <v>1117</v>
      </c>
      <c r="I43" s="157" t="s">
        <v>1118</v>
      </c>
      <c r="J43" s="10">
        <v>2363573456</v>
      </c>
      <c r="K43" s="10" t="s">
        <v>1119</v>
      </c>
      <c r="L43" s="10" t="s">
        <v>1120</v>
      </c>
      <c r="M43" s="11"/>
      <c r="N43" s="402" t="s">
        <v>1136</v>
      </c>
      <c r="O43" s="10" t="s">
        <v>1036</v>
      </c>
      <c r="P43" s="7" t="s">
        <v>153</v>
      </c>
      <c r="Q43" s="10">
        <v>2000</v>
      </c>
      <c r="R43" s="11">
        <v>500000</v>
      </c>
      <c r="S43" s="10">
        <v>1100000</v>
      </c>
      <c r="T43" s="341">
        <f t="shared" si="0"/>
        <v>1600000</v>
      </c>
      <c r="U43" s="10"/>
      <c r="V43" s="10"/>
      <c r="W43" s="10"/>
      <c r="X43" s="10"/>
      <c r="Y43" s="98">
        <v>0.3</v>
      </c>
      <c r="Z43" s="376">
        <f t="shared" si="5"/>
        <v>480000</v>
      </c>
      <c r="AA43" s="10"/>
      <c r="AB43" s="612">
        <f t="shared" si="1"/>
        <v>1088000</v>
      </c>
      <c r="AC43" s="617">
        <f t="shared" si="4"/>
        <v>608000</v>
      </c>
      <c r="AD43" s="10" t="s">
        <v>1223</v>
      </c>
      <c r="AE43" s="7" t="s">
        <v>577</v>
      </c>
    </row>
    <row r="44" spans="1:32" s="7" customFormat="1" ht="63" x14ac:dyDescent="0.25">
      <c r="A44" s="311">
        <v>41</v>
      </c>
      <c r="B44" s="10" t="s">
        <v>1108</v>
      </c>
      <c r="C44" s="250" t="s">
        <v>1106</v>
      </c>
      <c r="D44" s="250" t="s">
        <v>350</v>
      </c>
      <c r="E44" s="250"/>
      <c r="F44" s="29" t="s">
        <v>1107</v>
      </c>
      <c r="G44" s="10"/>
      <c r="H44" s="29" t="s">
        <v>448</v>
      </c>
      <c r="I44" s="157" t="s">
        <v>1121</v>
      </c>
      <c r="J44" s="37" t="s">
        <v>1122</v>
      </c>
      <c r="K44" s="10" t="s">
        <v>1123</v>
      </c>
      <c r="L44" s="368" t="s">
        <v>1124</v>
      </c>
      <c r="M44" s="11"/>
      <c r="N44" s="403" t="s">
        <v>1125</v>
      </c>
      <c r="O44" s="369" t="s">
        <v>191</v>
      </c>
      <c r="P44" s="7" t="s">
        <v>153</v>
      </c>
      <c r="Q44" s="10">
        <v>500</v>
      </c>
      <c r="R44" s="11">
        <v>500000</v>
      </c>
      <c r="S44" s="10">
        <v>425000</v>
      </c>
      <c r="T44" s="341">
        <f t="shared" si="0"/>
        <v>925000</v>
      </c>
      <c r="U44" s="10"/>
      <c r="V44" s="10"/>
      <c r="W44" s="10"/>
      <c r="X44" s="10"/>
      <c r="Y44" s="98">
        <v>0.4</v>
      </c>
      <c r="Z44" s="376">
        <f t="shared" si="5"/>
        <v>370000</v>
      </c>
      <c r="AA44" s="10"/>
      <c r="AB44" s="612">
        <f t="shared" si="1"/>
        <v>629000</v>
      </c>
      <c r="AC44" s="617">
        <f t="shared" si="4"/>
        <v>259000</v>
      </c>
      <c r="AD44" s="10" t="s">
        <v>1448</v>
      </c>
      <c r="AE44" s="7" t="s">
        <v>577</v>
      </c>
    </row>
    <row r="45" spans="1:32" s="7" customFormat="1" ht="63" x14ac:dyDescent="0.25">
      <c r="A45" s="113">
        <v>42</v>
      </c>
      <c r="B45" s="10" t="s">
        <v>1108</v>
      </c>
      <c r="C45" s="250" t="s">
        <v>1128</v>
      </c>
      <c r="D45" s="250" t="s">
        <v>1110</v>
      </c>
      <c r="E45" s="250"/>
      <c r="F45" s="29" t="s">
        <v>1130</v>
      </c>
      <c r="G45" s="10"/>
      <c r="H45" s="29" t="s">
        <v>1030</v>
      </c>
      <c r="I45" s="157" t="s">
        <v>1131</v>
      </c>
      <c r="J45" s="37" t="s">
        <v>1132</v>
      </c>
      <c r="K45" s="10" t="s">
        <v>1133</v>
      </c>
      <c r="L45" s="10" t="s">
        <v>1134</v>
      </c>
      <c r="M45" s="11"/>
      <c r="N45" s="29" t="s">
        <v>1135</v>
      </c>
      <c r="O45" s="7" t="s">
        <v>33</v>
      </c>
      <c r="P45" s="7" t="s">
        <v>153</v>
      </c>
      <c r="Q45" s="10">
        <v>300</v>
      </c>
      <c r="R45" s="11">
        <v>500000</v>
      </c>
      <c r="S45" s="10">
        <v>300000</v>
      </c>
      <c r="T45" s="341">
        <f t="shared" si="0"/>
        <v>800000</v>
      </c>
      <c r="U45" s="10"/>
      <c r="V45" s="10"/>
      <c r="W45" s="10"/>
      <c r="X45" s="10"/>
      <c r="Y45" s="98">
        <v>0.45</v>
      </c>
      <c r="Z45" s="376">
        <f t="shared" si="5"/>
        <v>360000</v>
      </c>
      <c r="AA45" s="10"/>
      <c r="AB45" s="612">
        <f t="shared" si="1"/>
        <v>544000</v>
      </c>
      <c r="AC45" s="617">
        <f t="shared" si="4"/>
        <v>184000</v>
      </c>
      <c r="AD45" s="10" t="s">
        <v>1245</v>
      </c>
      <c r="AE45" s="7" t="s">
        <v>577</v>
      </c>
    </row>
    <row r="46" spans="1:32" ht="63" x14ac:dyDescent="0.25">
      <c r="A46" s="74">
        <v>43</v>
      </c>
      <c r="B46" s="10" t="s">
        <v>1137</v>
      </c>
      <c r="C46" s="250" t="s">
        <v>1065</v>
      </c>
      <c r="D46" s="250" t="s">
        <v>1138</v>
      </c>
      <c r="E46" s="250"/>
      <c r="F46" s="29" t="s">
        <v>1066</v>
      </c>
      <c r="G46" s="10"/>
      <c r="H46" s="29" t="s">
        <v>1139</v>
      </c>
      <c r="I46" s="157" t="s">
        <v>1067</v>
      </c>
      <c r="J46" s="10" t="s">
        <v>1140</v>
      </c>
      <c r="K46" s="10" t="s">
        <v>1069</v>
      </c>
      <c r="L46" s="10" t="s">
        <v>1141</v>
      </c>
      <c r="M46" s="11"/>
      <c r="N46" s="267" t="s">
        <v>1142</v>
      </c>
      <c r="O46" s="10" t="s">
        <v>1143</v>
      </c>
      <c r="P46" s="19" t="s">
        <v>153</v>
      </c>
      <c r="Q46" s="19">
        <v>200</v>
      </c>
      <c r="R46" s="13" t="s">
        <v>1144</v>
      </c>
      <c r="S46" s="19" t="s">
        <v>1145</v>
      </c>
      <c r="T46" s="325" t="e">
        <f>R46+S46</f>
        <v>#VALUE!</v>
      </c>
      <c r="U46" s="19"/>
      <c r="V46" s="19"/>
      <c r="W46" s="19"/>
      <c r="X46" s="19"/>
      <c r="Y46" s="19"/>
      <c r="Z46" s="605" t="e">
        <f t="shared" si="5"/>
        <v>#VALUE!</v>
      </c>
      <c r="AA46" s="19"/>
      <c r="AB46" s="613" t="e">
        <f t="shared" si="1"/>
        <v>#VALUE!</v>
      </c>
      <c r="AC46" s="618" t="e">
        <f t="shared" si="4"/>
        <v>#VALUE!</v>
      </c>
      <c r="AD46" s="19"/>
      <c r="AE46" s="23" t="s">
        <v>577</v>
      </c>
      <c r="AF46" s="246">
        <f>Z45+Z42</f>
        <v>720000</v>
      </c>
    </row>
    <row r="47" spans="1:32" ht="47.25" x14ac:dyDescent="0.25">
      <c r="A47" s="311">
        <v>44</v>
      </c>
      <c r="B47" s="10" t="s">
        <v>1165</v>
      </c>
      <c r="C47" s="250" t="s">
        <v>1176</v>
      </c>
      <c r="D47" s="250" t="s">
        <v>1177</v>
      </c>
      <c r="E47" s="250"/>
      <c r="F47" s="29" t="s">
        <v>1193</v>
      </c>
      <c r="G47" s="10"/>
      <c r="H47" s="29" t="s">
        <v>1177</v>
      </c>
      <c r="I47" s="157" t="s">
        <v>1179</v>
      </c>
      <c r="J47" s="10" t="s">
        <v>1194</v>
      </c>
      <c r="K47" s="10" t="s">
        <v>1180</v>
      </c>
      <c r="L47" s="10" t="s">
        <v>1181</v>
      </c>
      <c r="M47" s="11"/>
      <c r="N47" s="29"/>
      <c r="O47" s="10" t="s">
        <v>191</v>
      </c>
      <c r="P47" s="19" t="s">
        <v>153</v>
      </c>
      <c r="Q47" s="19">
        <v>500</v>
      </c>
      <c r="R47" s="13">
        <v>500000</v>
      </c>
      <c r="S47" s="19">
        <v>425000</v>
      </c>
      <c r="T47" s="305">
        <f t="shared" si="0"/>
        <v>925000</v>
      </c>
      <c r="U47" s="19"/>
      <c r="V47" s="19"/>
      <c r="W47" s="19"/>
      <c r="X47" s="19"/>
      <c r="Y47" s="165">
        <v>0.4</v>
      </c>
      <c r="Z47" s="376">
        <f t="shared" si="5"/>
        <v>370000</v>
      </c>
      <c r="AA47" s="19"/>
      <c r="AB47" s="612">
        <f t="shared" si="1"/>
        <v>629000</v>
      </c>
      <c r="AC47" s="616">
        <f t="shared" si="4"/>
        <v>259000</v>
      </c>
      <c r="AD47" s="19" t="s">
        <v>1241</v>
      </c>
      <c r="AE47" s="23" t="s">
        <v>1087</v>
      </c>
    </row>
    <row r="48" spans="1:32" s="217" customFormat="1" ht="63" x14ac:dyDescent="0.25">
      <c r="A48" s="113">
        <v>45</v>
      </c>
      <c r="B48" s="239">
        <v>43503</v>
      </c>
      <c r="C48" s="256" t="s">
        <v>1188</v>
      </c>
      <c r="D48" s="256" t="s">
        <v>1177</v>
      </c>
      <c r="E48" s="256"/>
      <c r="F48" s="244" t="s">
        <v>1187</v>
      </c>
      <c r="G48" s="220"/>
      <c r="H48" s="244" t="s">
        <v>1177</v>
      </c>
      <c r="I48" s="242" t="s">
        <v>1189</v>
      </c>
      <c r="J48" s="220" t="s">
        <v>1191</v>
      </c>
      <c r="K48" s="220" t="s">
        <v>1190</v>
      </c>
      <c r="L48" s="220" t="s">
        <v>1192</v>
      </c>
      <c r="M48" s="214"/>
      <c r="N48" s="244" t="s">
        <v>1195</v>
      </c>
      <c r="O48" s="220" t="s">
        <v>191</v>
      </c>
      <c r="P48" s="220" t="s">
        <v>153</v>
      </c>
      <c r="Q48" s="220">
        <v>500</v>
      </c>
      <c r="R48" s="214">
        <v>500000</v>
      </c>
      <c r="S48" s="220">
        <v>425000</v>
      </c>
      <c r="T48" s="348">
        <f t="shared" si="0"/>
        <v>925000</v>
      </c>
      <c r="U48" s="220"/>
      <c r="V48" s="220"/>
      <c r="W48" s="220"/>
      <c r="X48" s="220"/>
      <c r="Y48" s="243">
        <v>0.4</v>
      </c>
      <c r="Z48" s="376">
        <f t="shared" si="5"/>
        <v>370000</v>
      </c>
      <c r="AA48" s="220"/>
      <c r="AB48" s="612">
        <f t="shared" si="1"/>
        <v>629000</v>
      </c>
      <c r="AC48" s="616">
        <f t="shared" si="4"/>
        <v>259000</v>
      </c>
      <c r="AD48" s="220" t="s">
        <v>1284</v>
      </c>
      <c r="AE48" s="217" t="s">
        <v>1087</v>
      </c>
    </row>
    <row r="49" spans="1:31" ht="47.25" x14ac:dyDescent="0.25">
      <c r="A49" s="74">
        <v>46</v>
      </c>
      <c r="B49" s="122">
        <v>43531</v>
      </c>
      <c r="C49" s="250" t="s">
        <v>1197</v>
      </c>
      <c r="D49" s="250" t="s">
        <v>474</v>
      </c>
      <c r="E49" s="250"/>
      <c r="F49" s="29" t="s">
        <v>1198</v>
      </c>
      <c r="G49" s="10"/>
      <c r="H49" s="29" t="s">
        <v>888</v>
      </c>
      <c r="I49" s="157" t="s">
        <v>1199</v>
      </c>
      <c r="J49" s="10" t="s">
        <v>361</v>
      </c>
      <c r="K49" s="10" t="s">
        <v>889</v>
      </c>
      <c r="L49" s="10" t="s">
        <v>1200</v>
      </c>
      <c r="M49" s="11"/>
      <c r="N49" s="29" t="s">
        <v>1201</v>
      </c>
      <c r="O49" s="10"/>
      <c r="P49" s="19" t="s">
        <v>153</v>
      </c>
      <c r="Q49" s="19">
        <v>300</v>
      </c>
      <c r="R49" s="13">
        <v>500000</v>
      </c>
      <c r="S49" s="19">
        <v>300000</v>
      </c>
      <c r="T49" s="305">
        <f t="shared" si="0"/>
        <v>800000</v>
      </c>
      <c r="U49" s="19"/>
      <c r="V49" s="19"/>
      <c r="W49" s="19"/>
      <c r="X49" s="19"/>
      <c r="Y49" s="165">
        <v>0.4</v>
      </c>
      <c r="Z49" s="376">
        <f t="shared" si="5"/>
        <v>320000</v>
      </c>
      <c r="AA49" s="19"/>
      <c r="AB49" s="612">
        <f t="shared" si="1"/>
        <v>544000</v>
      </c>
      <c r="AC49" s="616">
        <f t="shared" si="4"/>
        <v>224000</v>
      </c>
      <c r="AD49" s="19" t="s">
        <v>1722</v>
      </c>
      <c r="AE49" s="23" t="s">
        <v>1087</v>
      </c>
    </row>
    <row r="50" spans="1:31" ht="47.25" x14ac:dyDescent="0.25">
      <c r="A50" s="311">
        <v>47</v>
      </c>
      <c r="B50" s="122">
        <v>43531</v>
      </c>
      <c r="C50" s="250" t="s">
        <v>1210</v>
      </c>
      <c r="D50" s="250" t="s">
        <v>1211</v>
      </c>
      <c r="E50" s="250"/>
      <c r="F50" s="29" t="s">
        <v>1212</v>
      </c>
      <c r="G50" s="10"/>
      <c r="H50" s="29" t="s">
        <v>273</v>
      </c>
      <c r="I50" s="157" t="s">
        <v>1213</v>
      </c>
      <c r="J50" s="10" t="s">
        <v>1214</v>
      </c>
      <c r="K50" s="10" t="s">
        <v>1215</v>
      </c>
      <c r="L50" s="10" t="s">
        <v>1216</v>
      </c>
      <c r="M50" s="11"/>
      <c r="N50" s="29" t="s">
        <v>1217</v>
      </c>
      <c r="O50" s="10" t="s">
        <v>33</v>
      </c>
      <c r="P50" s="19" t="s">
        <v>153</v>
      </c>
      <c r="Q50" s="19">
        <v>300</v>
      </c>
      <c r="R50" s="13">
        <v>500000</v>
      </c>
      <c r="S50" s="19">
        <v>300000</v>
      </c>
      <c r="T50" s="305">
        <f t="shared" si="0"/>
        <v>800000</v>
      </c>
      <c r="U50" s="19"/>
      <c r="V50" s="19"/>
      <c r="W50" s="19"/>
      <c r="X50" s="266"/>
      <c r="Y50" s="165">
        <v>0.4</v>
      </c>
      <c r="Z50" s="376">
        <f t="shared" si="5"/>
        <v>320000</v>
      </c>
      <c r="AA50" s="19"/>
      <c r="AB50" s="612">
        <f t="shared" si="1"/>
        <v>544000</v>
      </c>
      <c r="AC50" s="616">
        <f t="shared" si="4"/>
        <v>224000</v>
      </c>
      <c r="AD50" s="19" t="s">
        <v>1264</v>
      </c>
      <c r="AE50" s="23" t="s">
        <v>864</v>
      </c>
    </row>
    <row r="51" spans="1:31" s="217" customFormat="1" ht="63" x14ac:dyDescent="0.25">
      <c r="A51" s="113">
        <v>48</v>
      </c>
      <c r="B51" s="239">
        <v>43562</v>
      </c>
      <c r="C51" s="256" t="s">
        <v>1146</v>
      </c>
      <c r="D51" s="256" t="s">
        <v>984</v>
      </c>
      <c r="E51" s="256"/>
      <c r="F51" s="244" t="s">
        <v>1147</v>
      </c>
      <c r="G51" s="220"/>
      <c r="H51" s="244" t="s">
        <v>345</v>
      </c>
      <c r="I51" s="242" t="s">
        <v>1148</v>
      </c>
      <c r="J51" s="220"/>
      <c r="K51" s="254" t="s">
        <v>1149</v>
      </c>
      <c r="L51" s="220" t="s">
        <v>1150</v>
      </c>
      <c r="M51" s="214"/>
      <c r="N51" s="244"/>
      <c r="O51" s="217" t="s">
        <v>191</v>
      </c>
      <c r="P51" s="220" t="s">
        <v>153</v>
      </c>
      <c r="Q51" s="220">
        <v>500</v>
      </c>
      <c r="R51" s="214">
        <v>500000</v>
      </c>
      <c r="S51" s="220">
        <v>425000</v>
      </c>
      <c r="T51" s="348">
        <f>R51+S51</f>
        <v>925000</v>
      </c>
      <c r="U51" s="220"/>
      <c r="V51" s="220"/>
      <c r="W51" s="220"/>
      <c r="X51" s="220"/>
      <c r="Y51" s="243">
        <v>0.3</v>
      </c>
      <c r="Z51" s="376">
        <f>T51*Y51</f>
        <v>277500</v>
      </c>
      <c r="AA51" s="220"/>
      <c r="AB51" s="612">
        <f>T51*0.68</f>
        <v>629000</v>
      </c>
      <c r="AC51" s="616">
        <f>AB51-Z51</f>
        <v>351500</v>
      </c>
      <c r="AD51" s="220" t="s">
        <v>1276</v>
      </c>
      <c r="AE51" s="217" t="s">
        <v>1277</v>
      </c>
    </row>
    <row r="52" spans="1:31" ht="63" x14ac:dyDescent="0.25">
      <c r="A52" s="74">
        <v>49</v>
      </c>
      <c r="B52" s="122">
        <v>43562</v>
      </c>
      <c r="C52" s="250" t="s">
        <v>1218</v>
      </c>
      <c r="D52" s="250" t="s">
        <v>1110</v>
      </c>
      <c r="E52" s="250"/>
      <c r="F52" s="29" t="s">
        <v>1219</v>
      </c>
      <c r="G52" s="10"/>
      <c r="H52" s="29" t="s">
        <v>345</v>
      </c>
      <c r="I52" s="157" t="s">
        <v>1112</v>
      </c>
      <c r="J52" s="10" t="s">
        <v>1220</v>
      </c>
      <c r="K52" s="10" t="s">
        <v>1221</v>
      </c>
      <c r="L52" s="10" t="s">
        <v>1222</v>
      </c>
      <c r="M52" s="11"/>
      <c r="N52" s="29"/>
      <c r="O52" s="10" t="s">
        <v>33</v>
      </c>
      <c r="P52" s="19" t="s">
        <v>153</v>
      </c>
      <c r="Q52" s="19">
        <v>300</v>
      </c>
      <c r="R52" s="13">
        <v>500000</v>
      </c>
      <c r="S52" s="19">
        <v>300000</v>
      </c>
      <c r="T52" s="305">
        <f t="shared" si="0"/>
        <v>800000</v>
      </c>
      <c r="U52" s="19"/>
      <c r="V52" s="19"/>
      <c r="W52" s="19"/>
      <c r="X52" s="19"/>
      <c r="Y52" s="165">
        <v>0.45</v>
      </c>
      <c r="Z52" s="376">
        <f t="shared" si="5"/>
        <v>360000</v>
      </c>
      <c r="AA52" s="19"/>
      <c r="AB52" s="612">
        <f t="shared" si="1"/>
        <v>544000</v>
      </c>
      <c r="AC52" s="616">
        <f t="shared" si="4"/>
        <v>184000</v>
      </c>
      <c r="AD52" s="19" t="s">
        <v>1246</v>
      </c>
    </row>
    <row r="53" spans="1:31" s="217" customFormat="1" ht="47.25" x14ac:dyDescent="0.25">
      <c r="A53" s="311">
        <v>50</v>
      </c>
      <c r="B53" s="239">
        <v>43745</v>
      </c>
      <c r="C53" s="256" t="s">
        <v>1253</v>
      </c>
      <c r="D53" s="256" t="s">
        <v>1254</v>
      </c>
      <c r="E53" s="256"/>
      <c r="F53" s="244" t="s">
        <v>1255</v>
      </c>
      <c r="G53" s="220"/>
      <c r="H53" s="244" t="s">
        <v>1256</v>
      </c>
      <c r="I53" s="242" t="s">
        <v>1257</v>
      </c>
      <c r="J53" s="220" t="s">
        <v>1258</v>
      </c>
      <c r="K53" s="220"/>
      <c r="L53" s="220" t="s">
        <v>1259</v>
      </c>
      <c r="M53" s="214"/>
      <c r="N53" s="244"/>
      <c r="O53" s="220" t="s">
        <v>191</v>
      </c>
      <c r="P53" s="220" t="s">
        <v>153</v>
      </c>
      <c r="Q53" s="220">
        <v>500</v>
      </c>
      <c r="R53" s="214">
        <v>500000</v>
      </c>
      <c r="S53" s="220">
        <v>425000</v>
      </c>
      <c r="T53" s="220">
        <f t="shared" si="0"/>
        <v>925000</v>
      </c>
      <c r="U53" s="220"/>
      <c r="V53" s="220"/>
      <c r="W53" s="220"/>
      <c r="X53" s="220"/>
      <c r="Y53" s="243">
        <v>0.4</v>
      </c>
      <c r="Z53" s="376">
        <f t="shared" si="5"/>
        <v>370000</v>
      </c>
      <c r="AA53" s="220"/>
      <c r="AB53" s="612">
        <f t="shared" si="1"/>
        <v>629000</v>
      </c>
      <c r="AC53" s="616">
        <f t="shared" si="4"/>
        <v>259000</v>
      </c>
      <c r="AD53" s="220" t="s">
        <v>1437</v>
      </c>
    </row>
    <row r="54" spans="1:31" ht="47.25" x14ac:dyDescent="0.25">
      <c r="A54" s="113">
        <v>51</v>
      </c>
      <c r="B54" s="122">
        <v>43745</v>
      </c>
      <c r="C54" s="250" t="s">
        <v>1203</v>
      </c>
      <c r="D54" s="250" t="s">
        <v>1260</v>
      </c>
      <c r="E54" s="250"/>
      <c r="F54" s="29" t="s">
        <v>1205</v>
      </c>
      <c r="G54" s="10"/>
      <c r="H54" s="29" t="s">
        <v>1030</v>
      </c>
      <c r="I54" s="157" t="s">
        <v>1206</v>
      </c>
      <c r="J54" s="10" t="s">
        <v>1261</v>
      </c>
      <c r="K54" s="10" t="s">
        <v>633</v>
      </c>
      <c r="L54" s="10" t="s">
        <v>1262</v>
      </c>
      <c r="M54" s="11"/>
      <c r="N54" s="29"/>
      <c r="O54" s="10" t="s">
        <v>33</v>
      </c>
      <c r="P54" s="19" t="s">
        <v>153</v>
      </c>
      <c r="Q54" s="19">
        <v>300</v>
      </c>
      <c r="R54" s="13">
        <v>500000</v>
      </c>
      <c r="S54" s="19">
        <v>300000</v>
      </c>
      <c r="T54" s="19">
        <f t="shared" si="0"/>
        <v>800000</v>
      </c>
      <c r="U54" s="19"/>
      <c r="V54" s="19"/>
      <c r="W54" s="19"/>
      <c r="X54" s="19"/>
      <c r="Y54" s="165">
        <v>0.4</v>
      </c>
      <c r="Z54" s="376">
        <f t="shared" si="5"/>
        <v>320000</v>
      </c>
      <c r="AA54" s="19"/>
      <c r="AB54" s="612">
        <f t="shared" si="1"/>
        <v>544000</v>
      </c>
      <c r="AC54" s="616">
        <f t="shared" si="4"/>
        <v>224000</v>
      </c>
      <c r="AD54" s="19" t="s">
        <v>1263</v>
      </c>
    </row>
    <row r="55" spans="1:31" ht="47.25" x14ac:dyDescent="0.25">
      <c r="A55" s="74">
        <v>52</v>
      </c>
      <c r="B55" s="10" t="s">
        <v>1321</v>
      </c>
      <c r="C55" s="250" t="s">
        <v>1322</v>
      </c>
      <c r="D55" s="250" t="s">
        <v>1323</v>
      </c>
      <c r="E55" s="250"/>
      <c r="F55" s="29" t="s">
        <v>1324</v>
      </c>
      <c r="G55" s="10"/>
      <c r="H55" s="29" t="s">
        <v>1256</v>
      </c>
      <c r="I55" s="157" t="s">
        <v>1325</v>
      </c>
      <c r="J55" s="10" t="s">
        <v>1326</v>
      </c>
      <c r="K55" s="10"/>
      <c r="L55" s="10"/>
      <c r="M55" s="11"/>
      <c r="N55" s="29"/>
      <c r="O55" s="10" t="s">
        <v>33</v>
      </c>
      <c r="P55" s="19" t="s">
        <v>153</v>
      </c>
      <c r="Q55" s="19">
        <v>300</v>
      </c>
      <c r="R55" s="13">
        <v>500000</v>
      </c>
      <c r="S55" s="19">
        <v>300000</v>
      </c>
      <c r="T55" s="19">
        <f t="shared" si="0"/>
        <v>800000</v>
      </c>
      <c r="U55" s="19"/>
      <c r="V55" s="19"/>
      <c r="W55" s="19"/>
      <c r="X55" s="19"/>
      <c r="Y55" s="165">
        <v>0.4</v>
      </c>
      <c r="Z55" s="376">
        <f t="shared" si="5"/>
        <v>320000</v>
      </c>
      <c r="AA55" s="19"/>
      <c r="AB55" s="612">
        <f t="shared" si="1"/>
        <v>544000</v>
      </c>
      <c r="AC55" s="616">
        <f t="shared" si="4"/>
        <v>224000</v>
      </c>
      <c r="AD55" s="19" t="s">
        <v>1452</v>
      </c>
    </row>
    <row r="56" spans="1:31" ht="47.25" x14ac:dyDescent="0.25">
      <c r="A56" s="311">
        <v>53</v>
      </c>
      <c r="B56" s="356" t="s">
        <v>1321</v>
      </c>
      <c r="C56" s="389" t="s">
        <v>1306</v>
      </c>
      <c r="D56" s="389" t="s">
        <v>474</v>
      </c>
      <c r="E56" s="389"/>
      <c r="F56" s="390" t="s">
        <v>1307</v>
      </c>
      <c r="G56" s="356"/>
      <c r="H56" s="390" t="s">
        <v>888</v>
      </c>
      <c r="I56" s="362" t="s">
        <v>1308</v>
      </c>
      <c r="J56" s="356" t="s">
        <v>361</v>
      </c>
      <c r="K56" s="356" t="s">
        <v>889</v>
      </c>
      <c r="L56" s="356" t="s">
        <v>1327</v>
      </c>
      <c r="M56" s="350"/>
      <c r="N56" s="390"/>
      <c r="O56" s="356" t="s">
        <v>191</v>
      </c>
      <c r="P56" s="359" t="s">
        <v>153</v>
      </c>
      <c r="Q56" s="359">
        <v>500</v>
      </c>
      <c r="R56" s="391">
        <v>500000</v>
      </c>
      <c r="S56" s="359">
        <v>425000</v>
      </c>
      <c r="T56" s="359">
        <f t="shared" si="0"/>
        <v>925000</v>
      </c>
      <c r="U56" s="359"/>
      <c r="V56" s="359"/>
      <c r="W56" s="359"/>
      <c r="X56" s="359"/>
      <c r="Y56" s="363">
        <v>0.4</v>
      </c>
      <c r="Z56" s="606">
        <f t="shared" si="5"/>
        <v>370000</v>
      </c>
      <c r="AA56" s="359"/>
      <c r="AB56" s="614">
        <f t="shared" si="1"/>
        <v>629000</v>
      </c>
      <c r="AC56" s="616">
        <f t="shared" si="4"/>
        <v>259000</v>
      </c>
      <c r="AD56" s="359" t="s">
        <v>1723</v>
      </c>
    </row>
    <row r="57" spans="1:31" ht="63" x14ac:dyDescent="0.25">
      <c r="A57" s="113">
        <v>54</v>
      </c>
      <c r="B57" s="10" t="s">
        <v>1390</v>
      </c>
      <c r="C57" s="157" t="s">
        <v>1391</v>
      </c>
      <c r="D57" s="157" t="s">
        <v>350</v>
      </c>
      <c r="E57" s="157"/>
      <c r="F57" s="29" t="s">
        <v>1392</v>
      </c>
      <c r="G57" s="10"/>
      <c r="H57" s="29" t="s">
        <v>168</v>
      </c>
      <c r="I57" s="157" t="s">
        <v>1393</v>
      </c>
      <c r="J57" s="10" t="s">
        <v>1394</v>
      </c>
      <c r="K57" s="10" t="s">
        <v>1395</v>
      </c>
      <c r="L57" s="10" t="s">
        <v>1396</v>
      </c>
      <c r="M57" s="11"/>
      <c r="N57" s="29" t="s">
        <v>1397</v>
      </c>
      <c r="O57" s="366" t="s">
        <v>39</v>
      </c>
      <c r="P57" s="19" t="s">
        <v>153</v>
      </c>
      <c r="Q57" s="19">
        <v>1000</v>
      </c>
      <c r="R57" s="13">
        <v>500000</v>
      </c>
      <c r="S57" s="19">
        <v>675000</v>
      </c>
      <c r="T57" s="19">
        <f t="shared" si="0"/>
        <v>1175000</v>
      </c>
      <c r="U57" s="19"/>
      <c r="V57" s="19"/>
      <c r="W57" s="19"/>
      <c r="X57" s="19"/>
      <c r="Y57" s="165">
        <v>0.4</v>
      </c>
      <c r="Z57" s="376">
        <f t="shared" si="5"/>
        <v>470000</v>
      </c>
      <c r="AA57" s="19"/>
      <c r="AB57" s="612">
        <f t="shared" si="1"/>
        <v>799000</v>
      </c>
      <c r="AC57" s="612">
        <f t="shared" si="4"/>
        <v>329000</v>
      </c>
      <c r="AD57" s="19" t="s">
        <v>1448</v>
      </c>
    </row>
    <row r="58" spans="1:31" s="7" customFormat="1" ht="47.25" x14ac:dyDescent="0.25">
      <c r="A58" s="74">
        <v>55</v>
      </c>
      <c r="B58" s="10" t="s">
        <v>1398</v>
      </c>
      <c r="C58" s="157" t="s">
        <v>1399</v>
      </c>
      <c r="D58" s="157" t="s">
        <v>562</v>
      </c>
      <c r="E58" s="157"/>
      <c r="F58" s="29" t="s">
        <v>1449</v>
      </c>
      <c r="G58" s="10"/>
      <c r="H58" s="29" t="s">
        <v>1243</v>
      </c>
      <c r="I58" s="157" t="s">
        <v>1400</v>
      </c>
      <c r="J58" s="10" t="s">
        <v>1401</v>
      </c>
      <c r="K58" s="10"/>
      <c r="L58" s="10" t="s">
        <v>1402</v>
      </c>
      <c r="M58" s="11"/>
      <c r="N58" s="29" t="s">
        <v>1403</v>
      </c>
      <c r="O58" s="367" t="s">
        <v>39</v>
      </c>
      <c r="P58" s="10" t="s">
        <v>153</v>
      </c>
      <c r="Q58" s="10">
        <v>1000</v>
      </c>
      <c r="R58" s="11">
        <v>500000</v>
      </c>
      <c r="S58" s="10">
        <v>675000</v>
      </c>
      <c r="T58" s="10">
        <f t="shared" si="0"/>
        <v>1175000</v>
      </c>
      <c r="U58" s="10"/>
      <c r="V58" s="10"/>
      <c r="W58" s="10"/>
      <c r="X58" s="10"/>
      <c r="Y58" s="98">
        <v>0.4</v>
      </c>
      <c r="Z58" s="376">
        <f t="shared" si="5"/>
        <v>470000</v>
      </c>
      <c r="AA58" s="10"/>
      <c r="AB58" s="612">
        <f t="shared" si="1"/>
        <v>799000</v>
      </c>
      <c r="AC58" s="619">
        <f t="shared" si="4"/>
        <v>329000</v>
      </c>
      <c r="AD58" s="10" t="s">
        <v>1451</v>
      </c>
    </row>
    <row r="59" spans="1:31" s="217" customFormat="1" ht="31.5" x14ac:dyDescent="0.25">
      <c r="A59" s="311">
        <v>56</v>
      </c>
      <c r="B59" s="239">
        <v>43473</v>
      </c>
      <c r="C59" s="242" t="s">
        <v>1407</v>
      </c>
      <c r="D59" s="242" t="s">
        <v>457</v>
      </c>
      <c r="E59" s="242"/>
      <c r="F59" s="244" t="s">
        <v>1408</v>
      </c>
      <c r="G59" s="220"/>
      <c r="H59" s="244" t="s">
        <v>1409</v>
      </c>
      <c r="I59" s="242" t="s">
        <v>1410</v>
      </c>
      <c r="J59" s="220" t="s">
        <v>1411</v>
      </c>
      <c r="K59" s="220" t="s">
        <v>1412</v>
      </c>
      <c r="L59" s="220" t="s">
        <v>1413</v>
      </c>
      <c r="M59" s="214"/>
      <c r="N59" s="244" t="s">
        <v>1414</v>
      </c>
      <c r="O59" s="220" t="s">
        <v>299</v>
      </c>
      <c r="P59" s="220" t="s">
        <v>180</v>
      </c>
      <c r="Q59" s="220">
        <v>500</v>
      </c>
      <c r="R59" s="214">
        <v>500000</v>
      </c>
      <c r="S59" s="220">
        <v>425000</v>
      </c>
      <c r="T59" s="220">
        <f t="shared" si="0"/>
        <v>925000</v>
      </c>
      <c r="U59" s="220"/>
      <c r="V59" s="220"/>
      <c r="W59" s="220"/>
      <c r="X59" s="220"/>
      <c r="Y59" s="243">
        <v>0.4</v>
      </c>
      <c r="Z59" s="376">
        <f t="shared" si="5"/>
        <v>370000</v>
      </c>
      <c r="AA59" s="220"/>
      <c r="AB59" s="612">
        <f t="shared" si="1"/>
        <v>629000</v>
      </c>
      <c r="AC59" s="612">
        <f t="shared" si="4"/>
        <v>259000</v>
      </c>
      <c r="AD59" s="220" t="s">
        <v>1453</v>
      </c>
      <c r="AE59" s="217" t="s">
        <v>864</v>
      </c>
    </row>
    <row r="60" spans="1:31" ht="47.25" x14ac:dyDescent="0.25">
      <c r="A60" s="113">
        <v>57</v>
      </c>
      <c r="B60" s="22">
        <v>43473</v>
      </c>
      <c r="C60" s="148" t="s">
        <v>1415</v>
      </c>
      <c r="D60" s="148"/>
      <c r="E60" s="148"/>
      <c r="F60" s="101" t="s">
        <v>1416</v>
      </c>
      <c r="G60" s="10"/>
      <c r="H60" s="101" t="s">
        <v>1419</v>
      </c>
      <c r="I60" s="148" t="s">
        <v>1418</v>
      </c>
      <c r="J60" s="101" t="s">
        <v>1417</v>
      </c>
      <c r="K60" s="10" t="s">
        <v>1420</v>
      </c>
      <c r="L60" s="19" t="s">
        <v>1421</v>
      </c>
      <c r="M60" s="13"/>
      <c r="N60" s="29"/>
      <c r="O60" s="19" t="s">
        <v>1422</v>
      </c>
      <c r="P60" s="19" t="s">
        <v>278</v>
      </c>
      <c r="Q60" s="19">
        <v>2000</v>
      </c>
      <c r="R60" s="13">
        <v>500000</v>
      </c>
      <c r="S60" s="19">
        <v>1100000</v>
      </c>
      <c r="T60" s="19">
        <f t="shared" si="0"/>
        <v>1600000</v>
      </c>
      <c r="U60" s="19"/>
      <c r="V60" s="19"/>
      <c r="W60" s="19"/>
      <c r="X60" s="19"/>
      <c r="Y60" s="165">
        <v>0.4</v>
      </c>
      <c r="Z60" s="376">
        <f t="shared" si="5"/>
        <v>640000</v>
      </c>
      <c r="AA60" s="19"/>
      <c r="AB60" s="612">
        <f t="shared" si="1"/>
        <v>1088000</v>
      </c>
      <c r="AC60" s="612">
        <f t="shared" si="4"/>
        <v>448000</v>
      </c>
      <c r="AD60" s="19" t="s">
        <v>1505</v>
      </c>
      <c r="AE60" s="23" t="s">
        <v>864</v>
      </c>
    </row>
    <row r="61" spans="1:31" ht="47.25" x14ac:dyDescent="0.25">
      <c r="A61" s="74">
        <v>58</v>
      </c>
      <c r="B61" s="22">
        <v>43473</v>
      </c>
      <c r="C61" s="148" t="s">
        <v>1431</v>
      </c>
      <c r="D61" s="148" t="s">
        <v>984</v>
      </c>
      <c r="E61" s="148"/>
      <c r="F61" s="101" t="s">
        <v>1432</v>
      </c>
      <c r="G61" s="10"/>
      <c r="H61" s="101" t="s">
        <v>273</v>
      </c>
      <c r="I61" s="148" t="s">
        <v>1433</v>
      </c>
      <c r="J61" s="10"/>
      <c r="K61" s="10" t="s">
        <v>1434</v>
      </c>
      <c r="L61" s="19" t="s">
        <v>1435</v>
      </c>
      <c r="M61" s="13"/>
      <c r="N61" s="29"/>
      <c r="O61" s="19" t="s">
        <v>1048</v>
      </c>
      <c r="P61" s="19" t="s">
        <v>153</v>
      </c>
      <c r="Q61" s="19">
        <v>300</v>
      </c>
      <c r="R61" s="13">
        <v>500000</v>
      </c>
      <c r="S61" s="19">
        <v>300000</v>
      </c>
      <c r="T61" s="19">
        <f t="shared" si="0"/>
        <v>800000</v>
      </c>
      <c r="U61" s="19"/>
      <c r="V61" s="19"/>
      <c r="W61" s="19"/>
      <c r="X61" s="19"/>
      <c r="Y61" s="165">
        <v>0.4</v>
      </c>
      <c r="Z61" s="376">
        <f t="shared" si="5"/>
        <v>320000</v>
      </c>
      <c r="AA61" s="19"/>
      <c r="AB61" s="612">
        <f t="shared" si="1"/>
        <v>544000</v>
      </c>
      <c r="AC61" s="612">
        <f t="shared" si="4"/>
        <v>224000</v>
      </c>
      <c r="AD61" s="19" t="s">
        <v>1452</v>
      </c>
      <c r="AE61" s="23" t="s">
        <v>864</v>
      </c>
    </row>
    <row r="62" spans="1:31" ht="63" x14ac:dyDescent="0.25">
      <c r="A62" s="311">
        <v>59</v>
      </c>
      <c r="B62" s="22">
        <v>43624</v>
      </c>
      <c r="C62" s="242" t="s">
        <v>1440</v>
      </c>
      <c r="D62" s="148" t="s">
        <v>457</v>
      </c>
      <c r="E62" s="148"/>
      <c r="F62" s="101" t="s">
        <v>1441</v>
      </c>
      <c r="G62" s="10"/>
      <c r="H62" s="101" t="s">
        <v>273</v>
      </c>
      <c r="I62" s="148" t="s">
        <v>1442</v>
      </c>
      <c r="J62" s="10" t="s">
        <v>1443</v>
      </c>
      <c r="K62" s="10" t="s">
        <v>1444</v>
      </c>
      <c r="L62" s="19" t="s">
        <v>1445</v>
      </c>
      <c r="M62" s="13"/>
      <c r="N62" s="29" t="s">
        <v>1446</v>
      </c>
      <c r="O62" s="19" t="s">
        <v>1048</v>
      </c>
      <c r="P62" s="19" t="s">
        <v>153</v>
      </c>
      <c r="Q62" s="19">
        <v>300</v>
      </c>
      <c r="R62" s="13">
        <v>500000</v>
      </c>
      <c r="S62" s="19">
        <v>300000</v>
      </c>
      <c r="T62" s="19">
        <f t="shared" si="0"/>
        <v>800000</v>
      </c>
      <c r="U62" s="19"/>
      <c r="V62" s="19"/>
      <c r="W62" s="19"/>
      <c r="X62" s="19"/>
      <c r="Y62" s="165">
        <v>0.4</v>
      </c>
      <c r="Z62" s="376">
        <f t="shared" si="5"/>
        <v>320000</v>
      </c>
      <c r="AA62" s="19"/>
      <c r="AB62" s="612">
        <f t="shared" si="1"/>
        <v>544000</v>
      </c>
      <c r="AC62" s="612">
        <f t="shared" si="4"/>
        <v>224000</v>
      </c>
      <c r="AD62" s="19" t="s">
        <v>1447</v>
      </c>
      <c r="AE62" s="23" t="s">
        <v>864</v>
      </c>
    </row>
    <row r="63" spans="1:31" ht="47.25" x14ac:dyDescent="0.25">
      <c r="A63" s="113">
        <v>60</v>
      </c>
      <c r="B63" s="22">
        <v>43807</v>
      </c>
      <c r="C63" s="242" t="s">
        <v>1456</v>
      </c>
      <c r="D63" s="148" t="s">
        <v>1457</v>
      </c>
      <c r="E63" s="148"/>
      <c r="F63" s="101" t="s">
        <v>1458</v>
      </c>
      <c r="G63" s="10"/>
      <c r="H63" s="101" t="s">
        <v>1030</v>
      </c>
      <c r="I63" s="148" t="s">
        <v>1459</v>
      </c>
      <c r="J63" s="10" t="s">
        <v>309</v>
      </c>
      <c r="K63" s="10" t="s">
        <v>1460</v>
      </c>
      <c r="L63" s="19" t="s">
        <v>1461</v>
      </c>
      <c r="M63" s="13"/>
      <c r="N63" s="29" t="s">
        <v>1462</v>
      </c>
      <c r="O63" s="19" t="s">
        <v>299</v>
      </c>
      <c r="P63" s="19" t="s">
        <v>153</v>
      </c>
      <c r="Q63" s="19">
        <v>500</v>
      </c>
      <c r="R63" s="13">
        <v>500000</v>
      </c>
      <c r="S63" s="19">
        <v>425000</v>
      </c>
      <c r="T63" s="19">
        <f t="shared" si="0"/>
        <v>925000</v>
      </c>
      <c r="U63" s="19">
        <v>925000</v>
      </c>
      <c r="V63" s="19">
        <v>925000</v>
      </c>
      <c r="W63" s="19"/>
      <c r="X63" s="19"/>
      <c r="Y63" s="165">
        <v>0.4</v>
      </c>
      <c r="Z63" s="376">
        <f t="shared" si="5"/>
        <v>370000</v>
      </c>
      <c r="AA63" s="19"/>
      <c r="AB63" s="612">
        <f t="shared" si="1"/>
        <v>629000</v>
      </c>
      <c r="AC63" s="612">
        <f t="shared" si="4"/>
        <v>259000</v>
      </c>
      <c r="AD63" s="19" t="s">
        <v>1529</v>
      </c>
    </row>
    <row r="64" spans="1:31" ht="63" x14ac:dyDescent="0.25">
      <c r="A64" s="74">
        <v>61</v>
      </c>
      <c r="B64" s="22">
        <v>43807</v>
      </c>
      <c r="C64" s="242" t="s">
        <v>935</v>
      </c>
      <c r="D64" s="148" t="s">
        <v>1013</v>
      </c>
      <c r="E64" s="148"/>
      <c r="F64" s="101" t="s">
        <v>937</v>
      </c>
      <c r="G64" s="10"/>
      <c r="H64" s="101" t="s">
        <v>1463</v>
      </c>
      <c r="I64" s="148" t="s">
        <v>938</v>
      </c>
      <c r="J64" s="10"/>
      <c r="K64" s="10" t="s">
        <v>1464</v>
      </c>
      <c r="L64" s="19" t="s">
        <v>1465</v>
      </c>
      <c r="M64" s="13"/>
      <c r="N64" s="29"/>
      <c r="O64" s="19" t="s">
        <v>299</v>
      </c>
      <c r="P64" s="19" t="s">
        <v>153</v>
      </c>
      <c r="Q64" s="19">
        <v>500</v>
      </c>
      <c r="R64" s="13">
        <v>500000</v>
      </c>
      <c r="S64" s="19">
        <v>425000</v>
      </c>
      <c r="T64" s="19">
        <f t="shared" si="0"/>
        <v>925000</v>
      </c>
      <c r="U64" s="19"/>
      <c r="V64" s="19"/>
      <c r="W64" s="19"/>
      <c r="X64" s="19"/>
      <c r="Y64" s="165">
        <v>0.4</v>
      </c>
      <c r="Z64" s="376">
        <f t="shared" si="5"/>
        <v>370000</v>
      </c>
      <c r="AA64" s="19"/>
      <c r="AB64" s="612">
        <f t="shared" si="1"/>
        <v>629000</v>
      </c>
      <c r="AC64" s="612">
        <f t="shared" si="4"/>
        <v>259000</v>
      </c>
      <c r="AD64" s="19" t="s">
        <v>783</v>
      </c>
    </row>
    <row r="65" spans="1:30" ht="47.25" x14ac:dyDescent="0.25">
      <c r="A65" s="311">
        <v>62</v>
      </c>
      <c r="B65" s="19" t="s">
        <v>1473</v>
      </c>
      <c r="C65" s="242" t="s">
        <v>1474</v>
      </c>
      <c r="D65" s="148" t="s">
        <v>1475</v>
      </c>
      <c r="E65" s="148"/>
      <c r="F65" s="101" t="s">
        <v>1476</v>
      </c>
      <c r="G65" s="10"/>
      <c r="H65" s="101" t="s">
        <v>168</v>
      </c>
      <c r="I65" s="148" t="s">
        <v>1477</v>
      </c>
      <c r="J65" s="10" t="s">
        <v>1478</v>
      </c>
      <c r="K65" s="10"/>
      <c r="L65" s="19"/>
      <c r="M65" s="13"/>
      <c r="N65" s="29"/>
      <c r="O65" s="19" t="s">
        <v>1048</v>
      </c>
      <c r="P65" s="19" t="s">
        <v>153</v>
      </c>
      <c r="Q65" s="19">
        <v>300</v>
      </c>
      <c r="R65" s="13">
        <v>500000</v>
      </c>
      <c r="S65" s="19">
        <v>300000</v>
      </c>
      <c r="T65" s="19">
        <f t="shared" si="0"/>
        <v>800000</v>
      </c>
      <c r="U65" s="19"/>
      <c r="V65" s="19"/>
      <c r="W65" s="19"/>
      <c r="X65" s="19"/>
      <c r="Y65" s="165">
        <v>0.4</v>
      </c>
      <c r="Z65" s="376">
        <f t="shared" si="5"/>
        <v>320000</v>
      </c>
      <c r="AA65" s="19"/>
      <c r="AB65" s="612">
        <f t="shared" si="1"/>
        <v>544000</v>
      </c>
      <c r="AC65" s="612">
        <f t="shared" si="4"/>
        <v>224000</v>
      </c>
      <c r="AD65" s="19" t="s">
        <v>1523</v>
      </c>
    </row>
    <row r="66" spans="1:30" ht="47.25" x14ac:dyDescent="0.25">
      <c r="A66" s="113">
        <v>63</v>
      </c>
      <c r="B66" s="19" t="s">
        <v>1473</v>
      </c>
      <c r="C66" s="242" t="s">
        <v>1479</v>
      </c>
      <c r="D66" s="148" t="s">
        <v>1480</v>
      </c>
      <c r="E66" s="148"/>
      <c r="F66" s="101" t="s">
        <v>1481</v>
      </c>
      <c r="G66" s="10"/>
      <c r="H66" s="101" t="s">
        <v>168</v>
      </c>
      <c r="I66" s="148" t="s">
        <v>1482</v>
      </c>
      <c r="J66" s="10" t="s">
        <v>1483</v>
      </c>
      <c r="K66" s="10"/>
      <c r="L66" s="19"/>
      <c r="M66" s="13"/>
      <c r="N66" s="29"/>
      <c r="O66" s="19" t="s">
        <v>1484</v>
      </c>
      <c r="P66" s="19" t="s">
        <v>278</v>
      </c>
      <c r="Q66" s="19">
        <v>1000</v>
      </c>
      <c r="R66" s="13">
        <v>500000</v>
      </c>
      <c r="S66" s="19">
        <v>675000</v>
      </c>
      <c r="T66" s="19">
        <f t="shared" si="0"/>
        <v>1175000</v>
      </c>
      <c r="U66" s="19"/>
      <c r="V66" s="19"/>
      <c r="W66" s="19"/>
      <c r="X66" s="19"/>
      <c r="Y66" s="165">
        <v>0.4</v>
      </c>
      <c r="Z66" s="376">
        <f t="shared" si="5"/>
        <v>470000</v>
      </c>
      <c r="AA66" s="19"/>
      <c r="AB66" s="612">
        <f t="shared" si="1"/>
        <v>799000</v>
      </c>
      <c r="AC66" s="612">
        <f t="shared" si="4"/>
        <v>329000</v>
      </c>
      <c r="AD66" s="19" t="s">
        <v>1619</v>
      </c>
    </row>
    <row r="67" spans="1:30" ht="63" x14ac:dyDescent="0.25">
      <c r="A67" s="74">
        <v>64</v>
      </c>
      <c r="B67" s="19" t="s">
        <v>1485</v>
      </c>
      <c r="C67" s="242" t="s">
        <v>1500</v>
      </c>
      <c r="D67" s="148" t="s">
        <v>1501</v>
      </c>
      <c r="E67" s="148"/>
      <c r="F67" s="101" t="s">
        <v>1548</v>
      </c>
      <c r="G67" s="10"/>
      <c r="H67" s="101" t="s">
        <v>199</v>
      </c>
      <c r="I67" s="148" t="s">
        <v>1503</v>
      </c>
      <c r="J67" s="10"/>
      <c r="K67" s="10" t="s">
        <v>1502</v>
      </c>
      <c r="L67" s="19"/>
      <c r="M67" s="13"/>
      <c r="N67" s="29"/>
      <c r="O67" s="19" t="s">
        <v>1504</v>
      </c>
      <c r="P67" s="19" t="s">
        <v>153</v>
      </c>
      <c r="Q67" s="19">
        <v>2000</v>
      </c>
      <c r="R67" s="13">
        <v>500000</v>
      </c>
      <c r="S67" s="19">
        <v>1100000</v>
      </c>
      <c r="T67" s="19">
        <f t="shared" si="0"/>
        <v>1600000</v>
      </c>
      <c r="U67" s="19"/>
      <c r="V67" s="19"/>
      <c r="W67" s="19"/>
      <c r="X67" s="19"/>
      <c r="Y67" s="165">
        <v>0.4</v>
      </c>
      <c r="Z67" s="376">
        <f t="shared" si="5"/>
        <v>640000</v>
      </c>
      <c r="AA67" s="19"/>
      <c r="AB67" s="376">
        <f t="shared" si="1"/>
        <v>1088000</v>
      </c>
      <c r="AC67" s="612">
        <f t="shared" si="4"/>
        <v>448000</v>
      </c>
      <c r="AD67" s="19" t="s">
        <v>1620</v>
      </c>
    </row>
    <row r="68" spans="1:30" ht="47.25" x14ac:dyDescent="0.25">
      <c r="A68" s="311">
        <v>65</v>
      </c>
      <c r="B68" s="19" t="s">
        <v>1517</v>
      </c>
      <c r="C68" s="242" t="s">
        <v>1337</v>
      </c>
      <c r="D68" s="148" t="s">
        <v>1525</v>
      </c>
      <c r="E68" s="148"/>
      <c r="F68" s="101" t="s">
        <v>1338</v>
      </c>
      <c r="G68" s="10"/>
      <c r="H68" s="101" t="s">
        <v>1526</v>
      </c>
      <c r="I68" s="148" t="s">
        <v>1339</v>
      </c>
      <c r="J68" s="10"/>
      <c r="K68" s="10"/>
      <c r="L68" s="19"/>
      <c r="M68" s="13"/>
      <c r="N68" s="29"/>
      <c r="O68" s="19" t="s">
        <v>1527</v>
      </c>
      <c r="P68" s="19" t="s">
        <v>153</v>
      </c>
      <c r="Q68" s="19">
        <v>200</v>
      </c>
      <c r="R68" s="13" t="s">
        <v>1144</v>
      </c>
      <c r="S68" s="19" t="s">
        <v>1145</v>
      </c>
      <c r="T68" s="266" t="e">
        <f t="shared" si="0"/>
        <v>#VALUE!</v>
      </c>
      <c r="U68" s="19"/>
      <c r="V68" s="19"/>
      <c r="W68" s="19"/>
      <c r="X68" s="19"/>
      <c r="Y68" s="19"/>
      <c r="Z68" s="605" t="e">
        <f t="shared" si="5"/>
        <v>#VALUE!</v>
      </c>
      <c r="AA68" s="19"/>
      <c r="AB68" s="605" t="e">
        <f t="shared" si="1"/>
        <v>#VALUE!</v>
      </c>
      <c r="AC68" s="613" t="e">
        <f t="shared" si="4"/>
        <v>#VALUE!</v>
      </c>
      <c r="AD68" s="19"/>
    </row>
    <row r="69" spans="1:30" ht="47.25" x14ac:dyDescent="0.25">
      <c r="A69" s="113">
        <v>66</v>
      </c>
      <c r="B69" s="19" t="s">
        <v>1517</v>
      </c>
      <c r="C69" s="242" t="s">
        <v>1537</v>
      </c>
      <c r="D69" s="148" t="s">
        <v>474</v>
      </c>
      <c r="E69" s="148"/>
      <c r="F69" s="101" t="s">
        <v>1539</v>
      </c>
      <c r="G69" s="10"/>
      <c r="H69" s="101" t="s">
        <v>322</v>
      </c>
      <c r="I69" s="148" t="s">
        <v>1538</v>
      </c>
      <c r="J69" s="10"/>
      <c r="K69" s="10"/>
      <c r="L69" s="19"/>
      <c r="M69" s="13"/>
      <c r="N69" s="29"/>
      <c r="O69" s="19" t="s">
        <v>299</v>
      </c>
      <c r="P69" s="19" t="s">
        <v>153</v>
      </c>
      <c r="Q69" s="19">
        <v>500</v>
      </c>
      <c r="R69" s="13">
        <v>500000</v>
      </c>
      <c r="S69" s="19">
        <v>425000</v>
      </c>
      <c r="T69" s="19">
        <f t="shared" ref="T69:T92" si="6">R69+S69</f>
        <v>925000</v>
      </c>
      <c r="U69" s="19"/>
      <c r="V69" s="19"/>
      <c r="W69" s="19"/>
      <c r="X69" s="19"/>
      <c r="Y69" s="165">
        <v>0.4</v>
      </c>
      <c r="Z69" s="376">
        <f t="shared" si="5"/>
        <v>370000</v>
      </c>
      <c r="AA69" s="19"/>
      <c r="AB69" s="376">
        <f t="shared" ref="AB69:AB120" si="7">T69*0.68</f>
        <v>629000</v>
      </c>
      <c r="AC69" s="612">
        <f t="shared" si="4"/>
        <v>259000</v>
      </c>
      <c r="AD69" s="19" t="s">
        <v>1723</v>
      </c>
    </row>
    <row r="70" spans="1:30" ht="63" x14ac:dyDescent="0.25">
      <c r="A70" s="74">
        <v>67</v>
      </c>
      <c r="B70" s="19" t="s">
        <v>1549</v>
      </c>
      <c r="C70" s="148" t="s">
        <v>1553</v>
      </c>
      <c r="D70" s="148" t="s">
        <v>474</v>
      </c>
      <c r="E70" s="148"/>
      <c r="F70" s="101" t="s">
        <v>1554</v>
      </c>
      <c r="G70" s="10"/>
      <c r="H70" s="101" t="s">
        <v>322</v>
      </c>
      <c r="I70" s="148" t="s">
        <v>1555</v>
      </c>
      <c r="J70" s="10"/>
      <c r="K70" s="10"/>
      <c r="L70" s="19" t="s">
        <v>1556</v>
      </c>
      <c r="M70" s="13"/>
      <c r="N70" s="29"/>
      <c r="O70" s="19" t="s">
        <v>299</v>
      </c>
      <c r="P70" s="19" t="s">
        <v>153</v>
      </c>
      <c r="Q70" s="19">
        <v>500</v>
      </c>
      <c r="R70" s="13">
        <v>500000</v>
      </c>
      <c r="S70" s="19">
        <v>425000</v>
      </c>
      <c r="T70" s="19">
        <f t="shared" si="6"/>
        <v>925000</v>
      </c>
      <c r="U70" s="19"/>
      <c r="V70" s="19"/>
      <c r="W70" s="19"/>
      <c r="X70" s="19"/>
      <c r="Y70" s="165">
        <v>0.4</v>
      </c>
      <c r="Z70" s="376">
        <f t="shared" si="5"/>
        <v>370000</v>
      </c>
      <c r="AA70" s="19"/>
      <c r="AB70" s="376">
        <f t="shared" si="7"/>
        <v>629000</v>
      </c>
      <c r="AC70" s="612">
        <f t="shared" si="4"/>
        <v>259000</v>
      </c>
      <c r="AD70" s="19" t="s">
        <v>1723</v>
      </c>
    </row>
    <row r="71" spans="1:30" ht="63" x14ac:dyDescent="0.25">
      <c r="A71" s="311">
        <v>68</v>
      </c>
      <c r="B71" s="19" t="s">
        <v>1565</v>
      </c>
      <c r="C71" s="242" t="s">
        <v>691</v>
      </c>
      <c r="D71" s="148" t="s">
        <v>510</v>
      </c>
      <c r="E71" s="148"/>
      <c r="F71" s="101" t="s">
        <v>695</v>
      </c>
      <c r="G71" s="10"/>
      <c r="H71" s="101" t="s">
        <v>199</v>
      </c>
      <c r="I71" s="148" t="s">
        <v>1557</v>
      </c>
      <c r="J71" s="10"/>
      <c r="K71" s="10" t="s">
        <v>202</v>
      </c>
      <c r="L71" s="19" t="s">
        <v>1566</v>
      </c>
      <c r="M71" s="13"/>
      <c r="N71" s="29"/>
      <c r="O71" s="19" t="s">
        <v>299</v>
      </c>
      <c r="P71" s="19" t="s">
        <v>153</v>
      </c>
      <c r="Q71" s="19">
        <v>500</v>
      </c>
      <c r="R71" s="13">
        <v>500000</v>
      </c>
      <c r="S71" s="19">
        <v>425000</v>
      </c>
      <c r="T71" s="19">
        <f t="shared" si="6"/>
        <v>925000</v>
      </c>
      <c r="U71" s="19"/>
      <c r="V71" s="19"/>
      <c r="W71" s="19"/>
      <c r="X71" s="19"/>
      <c r="Y71" s="165">
        <v>0.3</v>
      </c>
      <c r="Z71" s="376">
        <f t="shared" si="5"/>
        <v>277500</v>
      </c>
      <c r="AA71" s="19"/>
      <c r="AB71" s="376">
        <f t="shared" si="7"/>
        <v>629000</v>
      </c>
      <c r="AC71" s="612">
        <f t="shared" si="4"/>
        <v>351500</v>
      </c>
      <c r="AD71" s="19" t="s">
        <v>1650</v>
      </c>
    </row>
    <row r="72" spans="1:30" ht="47.25" x14ac:dyDescent="0.25">
      <c r="A72" s="113">
        <v>69</v>
      </c>
      <c r="B72" s="19" t="s">
        <v>1567</v>
      </c>
      <c r="C72" s="242" t="s">
        <v>1568</v>
      </c>
      <c r="D72" s="148" t="s">
        <v>1570</v>
      </c>
      <c r="E72" s="148"/>
      <c r="F72" s="101" t="s">
        <v>1569</v>
      </c>
      <c r="G72" s="10"/>
      <c r="H72" s="101" t="s">
        <v>168</v>
      </c>
      <c r="I72" s="148" t="s">
        <v>1571</v>
      </c>
      <c r="J72" s="10"/>
      <c r="K72" s="10"/>
      <c r="L72" s="19"/>
      <c r="M72" s="13"/>
      <c r="N72" s="29"/>
      <c r="O72" s="19" t="s">
        <v>1048</v>
      </c>
      <c r="P72" s="19" t="s">
        <v>153</v>
      </c>
      <c r="Q72" s="19">
        <v>300</v>
      </c>
      <c r="R72" s="13">
        <v>500000</v>
      </c>
      <c r="S72" s="19">
        <v>300000</v>
      </c>
      <c r="T72" s="19">
        <f t="shared" si="6"/>
        <v>800000</v>
      </c>
      <c r="U72" s="19"/>
      <c r="V72" s="19"/>
      <c r="W72" s="19"/>
      <c r="X72" s="19"/>
      <c r="Y72" s="165">
        <v>0.3</v>
      </c>
      <c r="Z72" s="376">
        <f t="shared" si="5"/>
        <v>240000</v>
      </c>
      <c r="AA72" s="19"/>
      <c r="AB72" s="376">
        <f t="shared" si="7"/>
        <v>544000</v>
      </c>
      <c r="AC72" s="612">
        <f t="shared" si="4"/>
        <v>304000</v>
      </c>
      <c r="AD72" s="19" t="s">
        <v>1649</v>
      </c>
    </row>
    <row r="73" spans="1:30" ht="47.25" x14ac:dyDescent="0.25">
      <c r="A73" s="74">
        <v>70</v>
      </c>
      <c r="B73" s="19" t="s">
        <v>1582</v>
      </c>
      <c r="C73" s="242" t="s">
        <v>1583</v>
      </c>
      <c r="D73" s="148" t="s">
        <v>1260</v>
      </c>
      <c r="E73" s="148"/>
      <c r="F73" s="101" t="s">
        <v>1584</v>
      </c>
      <c r="G73" s="10"/>
      <c r="H73" s="101" t="s">
        <v>888</v>
      </c>
      <c r="I73" s="148" t="s">
        <v>1585</v>
      </c>
      <c r="J73" s="10"/>
      <c r="K73" s="10"/>
      <c r="L73" s="19"/>
      <c r="M73" s="13"/>
      <c r="N73" s="29"/>
      <c r="O73" s="19" t="s">
        <v>1048</v>
      </c>
      <c r="P73" s="19" t="s">
        <v>153</v>
      </c>
      <c r="Q73" s="19">
        <v>300</v>
      </c>
      <c r="R73" s="13">
        <v>500000</v>
      </c>
      <c r="S73" s="19">
        <v>300000</v>
      </c>
      <c r="T73" s="19">
        <f t="shared" si="6"/>
        <v>800000</v>
      </c>
      <c r="U73" s="19"/>
      <c r="V73" s="19"/>
      <c r="W73" s="19"/>
      <c r="X73" s="19"/>
      <c r="Y73" s="165">
        <v>0.4</v>
      </c>
      <c r="Z73" s="376">
        <f t="shared" si="5"/>
        <v>320000</v>
      </c>
      <c r="AA73" s="19"/>
      <c r="AB73" s="376">
        <f t="shared" si="7"/>
        <v>544000</v>
      </c>
      <c r="AC73" s="612">
        <f t="shared" si="4"/>
        <v>224000</v>
      </c>
      <c r="AD73" s="19" t="s">
        <v>1676</v>
      </c>
    </row>
    <row r="74" spans="1:30" s="217" customFormat="1" ht="63" x14ac:dyDescent="0.25">
      <c r="A74" s="311">
        <v>71</v>
      </c>
      <c r="B74" s="239">
        <v>43533</v>
      </c>
      <c r="C74" s="242" t="s">
        <v>690</v>
      </c>
      <c r="D74" s="242" t="s">
        <v>510</v>
      </c>
      <c r="E74" s="242"/>
      <c r="F74" s="244" t="s">
        <v>694</v>
      </c>
      <c r="G74" s="220"/>
      <c r="H74" s="244" t="s">
        <v>199</v>
      </c>
      <c r="I74" s="242" t="s">
        <v>1592</v>
      </c>
      <c r="J74" s="220"/>
      <c r="K74" s="220" t="s">
        <v>202</v>
      </c>
      <c r="L74" s="220" t="s">
        <v>1593</v>
      </c>
      <c r="M74" s="214"/>
      <c r="N74" s="29"/>
      <c r="O74" s="220" t="s">
        <v>1422</v>
      </c>
      <c r="P74" s="220" t="s">
        <v>153</v>
      </c>
      <c r="Q74" s="220">
        <v>2000</v>
      </c>
      <c r="R74" s="214">
        <v>500000</v>
      </c>
      <c r="S74" s="220">
        <v>1100000</v>
      </c>
      <c r="T74" s="220">
        <f t="shared" si="6"/>
        <v>1600000</v>
      </c>
      <c r="U74" s="220"/>
      <c r="V74" s="220"/>
      <c r="W74" s="220"/>
      <c r="X74" s="220"/>
      <c r="Y74" s="243">
        <v>0.3</v>
      </c>
      <c r="Z74" s="376">
        <f t="shared" si="5"/>
        <v>480000</v>
      </c>
      <c r="AA74" s="220"/>
      <c r="AB74" s="376">
        <f t="shared" si="7"/>
        <v>1088000</v>
      </c>
      <c r="AC74" s="612">
        <f t="shared" si="4"/>
        <v>608000</v>
      </c>
      <c r="AD74" s="220" t="s">
        <v>1244</v>
      </c>
    </row>
    <row r="75" spans="1:30" ht="47.25" x14ac:dyDescent="0.25">
      <c r="A75" s="113">
        <v>72</v>
      </c>
      <c r="B75" s="22">
        <v>43533</v>
      </c>
      <c r="C75" s="148" t="s">
        <v>1594</v>
      </c>
      <c r="D75" s="148" t="s">
        <v>510</v>
      </c>
      <c r="E75" s="148"/>
      <c r="F75" s="101" t="s">
        <v>1595</v>
      </c>
      <c r="G75" s="10"/>
      <c r="H75" s="101" t="s">
        <v>1596</v>
      </c>
      <c r="I75" s="148" t="s">
        <v>1597</v>
      </c>
      <c r="J75" s="10"/>
      <c r="K75" s="10" t="s">
        <v>202</v>
      </c>
      <c r="L75" s="19" t="s">
        <v>1593</v>
      </c>
      <c r="M75" s="13"/>
      <c r="N75" s="29"/>
      <c r="O75" s="19" t="s">
        <v>1422</v>
      </c>
      <c r="P75" s="19" t="s">
        <v>153</v>
      </c>
      <c r="Q75" s="19">
        <v>2000</v>
      </c>
      <c r="R75" s="13">
        <v>500000</v>
      </c>
      <c r="S75" s="19">
        <v>1100000</v>
      </c>
      <c r="T75" s="19">
        <f t="shared" si="6"/>
        <v>1600000</v>
      </c>
      <c r="U75" s="19"/>
      <c r="V75" s="19"/>
      <c r="W75" s="19"/>
      <c r="X75" s="19"/>
      <c r="Y75" s="165">
        <v>0.3</v>
      </c>
      <c r="Z75" s="376">
        <f t="shared" si="5"/>
        <v>480000</v>
      </c>
      <c r="AA75" s="19"/>
      <c r="AB75" s="376">
        <f t="shared" si="7"/>
        <v>1088000</v>
      </c>
      <c r="AC75" s="612">
        <f t="shared" si="4"/>
        <v>608000</v>
      </c>
      <c r="AD75" s="19" t="s">
        <v>1244</v>
      </c>
    </row>
    <row r="76" spans="1:30" ht="47.25" x14ac:dyDescent="0.25">
      <c r="A76" s="74">
        <v>73</v>
      </c>
      <c r="B76" s="22">
        <v>43564</v>
      </c>
      <c r="C76" s="148" t="s">
        <v>1606</v>
      </c>
      <c r="D76" s="148" t="s">
        <v>1605</v>
      </c>
      <c r="E76" s="148"/>
      <c r="F76" s="101" t="s">
        <v>1607</v>
      </c>
      <c r="G76" s="10"/>
      <c r="H76" s="101" t="s">
        <v>327</v>
      </c>
      <c r="I76" s="148" t="s">
        <v>1608</v>
      </c>
      <c r="J76" s="10"/>
      <c r="K76" s="10"/>
      <c r="L76" s="19" t="s">
        <v>1609</v>
      </c>
      <c r="M76" s="13"/>
      <c r="N76" s="29"/>
      <c r="O76" s="19" t="s">
        <v>1048</v>
      </c>
      <c r="P76" s="19" t="s">
        <v>153</v>
      </c>
      <c r="Q76" s="19">
        <v>300</v>
      </c>
      <c r="R76" s="13">
        <v>500000</v>
      </c>
      <c r="S76" s="19">
        <v>300000</v>
      </c>
      <c r="T76" s="19">
        <f t="shared" si="6"/>
        <v>800000</v>
      </c>
      <c r="U76" s="19"/>
      <c r="V76" s="19"/>
      <c r="W76" s="19"/>
      <c r="X76" s="19"/>
      <c r="Y76" s="165">
        <v>0.4</v>
      </c>
      <c r="Z76" s="376">
        <f>T76*Y76</f>
        <v>320000</v>
      </c>
      <c r="AA76" s="19"/>
      <c r="AB76" s="376">
        <f t="shared" si="7"/>
        <v>544000</v>
      </c>
      <c r="AC76" s="612">
        <f t="shared" si="4"/>
        <v>224000</v>
      </c>
      <c r="AD76" s="19"/>
    </row>
    <row r="77" spans="1:30" ht="47.25" x14ac:dyDescent="0.25">
      <c r="A77" s="311">
        <v>74</v>
      </c>
      <c r="B77" s="22">
        <v>43594</v>
      </c>
      <c r="C77" s="148" t="s">
        <v>1610</v>
      </c>
      <c r="D77" s="148" t="s">
        <v>1614</v>
      </c>
      <c r="E77" s="148"/>
      <c r="F77" s="101" t="s">
        <v>1611</v>
      </c>
      <c r="G77" s="10"/>
      <c r="H77" s="101" t="s">
        <v>1612</v>
      </c>
      <c r="I77" s="148" t="s">
        <v>1613</v>
      </c>
      <c r="J77" s="10"/>
      <c r="K77" s="10" t="s">
        <v>1615</v>
      </c>
      <c r="L77" s="19" t="s">
        <v>1616</v>
      </c>
      <c r="M77" s="13"/>
      <c r="N77" s="29"/>
      <c r="O77" s="19" t="s">
        <v>299</v>
      </c>
      <c r="P77" s="19" t="s">
        <v>278</v>
      </c>
      <c r="Q77" s="19">
        <v>500</v>
      </c>
      <c r="R77" s="13">
        <v>500000</v>
      </c>
      <c r="S77" s="19">
        <v>425000</v>
      </c>
      <c r="T77" s="19">
        <f t="shared" si="6"/>
        <v>925000</v>
      </c>
      <c r="U77" s="19"/>
      <c r="V77" s="19"/>
      <c r="W77" s="19"/>
      <c r="X77" s="19"/>
      <c r="Y77" s="165">
        <v>0.3</v>
      </c>
      <c r="Z77" s="376">
        <f t="shared" si="5"/>
        <v>277500</v>
      </c>
      <c r="AA77" s="19"/>
      <c r="AB77" s="376">
        <f t="shared" si="7"/>
        <v>629000</v>
      </c>
      <c r="AC77" s="612">
        <f t="shared" si="4"/>
        <v>351500</v>
      </c>
      <c r="AD77" s="19" t="s">
        <v>1276</v>
      </c>
    </row>
    <row r="78" spans="1:30" s="36" customFormat="1" ht="63" x14ac:dyDescent="0.25">
      <c r="A78" s="113">
        <v>75</v>
      </c>
      <c r="B78" s="408">
        <v>42286</v>
      </c>
      <c r="C78" s="409" t="s">
        <v>1634</v>
      </c>
      <c r="D78" s="195" t="s">
        <v>1211</v>
      </c>
      <c r="E78" s="195"/>
      <c r="F78" s="379" t="s">
        <v>1636</v>
      </c>
      <c r="G78" s="137" t="s">
        <v>1635</v>
      </c>
      <c r="H78" s="379" t="s">
        <v>1639</v>
      </c>
      <c r="I78" s="137" t="s">
        <v>1635</v>
      </c>
      <c r="J78" s="78"/>
      <c r="K78" s="18" t="s">
        <v>1637</v>
      </c>
      <c r="L78" s="78" t="s">
        <v>1638</v>
      </c>
      <c r="M78" s="333"/>
      <c r="N78" s="29"/>
      <c r="O78" s="18" t="s">
        <v>1144</v>
      </c>
      <c r="P78" s="18" t="s">
        <v>153</v>
      </c>
      <c r="Q78" s="18">
        <v>300</v>
      </c>
      <c r="R78" s="333">
        <v>500000</v>
      </c>
      <c r="S78" s="18">
        <v>300000</v>
      </c>
      <c r="T78" s="18">
        <f t="shared" si="6"/>
        <v>800000</v>
      </c>
      <c r="U78" s="18"/>
      <c r="V78" s="18"/>
      <c r="W78" s="18"/>
      <c r="X78" s="18"/>
      <c r="Y78" s="87">
        <v>0.4</v>
      </c>
      <c r="Z78" s="414">
        <f t="shared" si="5"/>
        <v>320000</v>
      </c>
      <c r="AA78" s="18"/>
      <c r="AB78" s="414">
        <f t="shared" si="7"/>
        <v>544000</v>
      </c>
      <c r="AC78" s="620">
        <f t="shared" si="4"/>
        <v>224000</v>
      </c>
      <c r="AD78" s="18" t="s">
        <v>1640</v>
      </c>
    </row>
    <row r="79" spans="1:30" ht="47.25" x14ac:dyDescent="0.25">
      <c r="A79" s="74">
        <v>76</v>
      </c>
      <c r="B79" s="22">
        <v>43778</v>
      </c>
      <c r="C79" s="148" t="s">
        <v>1651</v>
      </c>
      <c r="D79" s="148" t="s">
        <v>1652</v>
      </c>
      <c r="E79" s="148"/>
      <c r="F79" s="101" t="s">
        <v>89</v>
      </c>
      <c r="G79" s="10"/>
      <c r="H79" s="101" t="s">
        <v>327</v>
      </c>
      <c r="I79" s="148" t="s">
        <v>1653</v>
      </c>
      <c r="J79" s="10"/>
      <c r="K79" s="310" t="s">
        <v>92</v>
      </c>
      <c r="L79" s="19" t="s">
        <v>1654</v>
      </c>
      <c r="M79" s="13"/>
      <c r="N79" s="29"/>
      <c r="O79" s="19" t="s">
        <v>299</v>
      </c>
      <c r="P79" s="19" t="s">
        <v>153</v>
      </c>
      <c r="Q79" s="19">
        <v>500</v>
      </c>
      <c r="R79" s="13">
        <v>500000</v>
      </c>
      <c r="S79" s="19">
        <v>425000</v>
      </c>
      <c r="T79" s="19">
        <f t="shared" si="6"/>
        <v>925000</v>
      </c>
      <c r="U79" s="19"/>
      <c r="V79" s="19"/>
      <c r="W79" s="19"/>
      <c r="X79" s="19"/>
      <c r="Y79" s="19"/>
      <c r="Z79" s="376">
        <f t="shared" si="5"/>
        <v>0</v>
      </c>
      <c r="AA79" s="19"/>
      <c r="AB79" s="376">
        <f t="shared" si="7"/>
        <v>629000</v>
      </c>
      <c r="AC79" s="612">
        <f t="shared" si="4"/>
        <v>629000</v>
      </c>
      <c r="AD79" s="19" t="s">
        <v>663</v>
      </c>
    </row>
    <row r="80" spans="1:30" ht="47.25" x14ac:dyDescent="0.25">
      <c r="A80" s="311">
        <v>77</v>
      </c>
      <c r="B80" s="220" t="s">
        <v>1677</v>
      </c>
      <c r="C80" s="242" t="s">
        <v>1688</v>
      </c>
      <c r="D80" s="148" t="s">
        <v>474</v>
      </c>
      <c r="E80" s="148"/>
      <c r="F80" s="101" t="s">
        <v>1689</v>
      </c>
      <c r="G80" s="10"/>
      <c r="H80" s="101" t="s">
        <v>1693</v>
      </c>
      <c r="I80" s="148" t="s">
        <v>1690</v>
      </c>
      <c r="J80" s="10"/>
      <c r="K80" s="310" t="s">
        <v>889</v>
      </c>
      <c r="L80" s="19"/>
      <c r="M80" s="13"/>
      <c r="N80" s="29"/>
      <c r="O80" s="19" t="s">
        <v>1048</v>
      </c>
      <c r="P80" s="19" t="s">
        <v>153</v>
      </c>
      <c r="Q80" s="19">
        <v>300</v>
      </c>
      <c r="R80" s="13">
        <v>500000</v>
      </c>
      <c r="S80" s="19">
        <v>300000</v>
      </c>
      <c r="T80" s="19">
        <f>R80+S80</f>
        <v>800000</v>
      </c>
      <c r="U80" s="19"/>
      <c r="V80" s="19"/>
      <c r="W80" s="19"/>
      <c r="X80" s="19"/>
      <c r="Y80" s="165">
        <v>0.4</v>
      </c>
      <c r="Z80" s="376">
        <f t="shared" si="5"/>
        <v>320000</v>
      </c>
      <c r="AA80" s="19"/>
      <c r="AB80" s="376">
        <f t="shared" si="7"/>
        <v>544000</v>
      </c>
      <c r="AC80" s="612">
        <f t="shared" si="4"/>
        <v>224000</v>
      </c>
      <c r="AD80" s="19" t="s">
        <v>1724</v>
      </c>
    </row>
    <row r="81" spans="1:31" ht="47.25" x14ac:dyDescent="0.25">
      <c r="A81" s="113">
        <v>78</v>
      </c>
      <c r="B81" s="19" t="s">
        <v>1711</v>
      </c>
      <c r="C81" s="148" t="s">
        <v>1712</v>
      </c>
      <c r="D81" s="148"/>
      <c r="E81" s="148"/>
      <c r="F81" s="101" t="s">
        <v>1713</v>
      </c>
      <c r="G81" s="10"/>
      <c r="H81" s="101" t="s">
        <v>1714</v>
      </c>
      <c r="I81" s="148" t="s">
        <v>1715</v>
      </c>
      <c r="J81" s="10"/>
      <c r="K81" s="310" t="s">
        <v>1716</v>
      </c>
      <c r="L81" s="19"/>
      <c r="M81" s="13"/>
      <c r="N81" s="29"/>
      <c r="O81" s="19" t="s">
        <v>1048</v>
      </c>
      <c r="P81" s="19" t="s">
        <v>153</v>
      </c>
      <c r="Q81" s="19">
        <v>300</v>
      </c>
      <c r="R81" s="13">
        <v>500000</v>
      </c>
      <c r="S81" s="19">
        <v>300000</v>
      </c>
      <c r="T81" s="19">
        <f t="shared" si="6"/>
        <v>800000</v>
      </c>
      <c r="U81" s="19"/>
      <c r="V81" s="19"/>
      <c r="W81" s="19"/>
      <c r="X81" s="19"/>
      <c r="Y81" s="165">
        <v>0.3</v>
      </c>
      <c r="Z81" s="376">
        <f t="shared" si="5"/>
        <v>240000</v>
      </c>
      <c r="AA81" s="19"/>
      <c r="AB81" s="376">
        <f t="shared" si="7"/>
        <v>544000</v>
      </c>
      <c r="AC81" s="612">
        <f t="shared" si="4"/>
        <v>304000</v>
      </c>
      <c r="AD81" s="19" t="s">
        <v>663</v>
      </c>
      <c r="AE81" s="23" t="s">
        <v>864</v>
      </c>
    </row>
    <row r="82" spans="1:31" s="7" customFormat="1" ht="47.25" x14ac:dyDescent="0.25">
      <c r="A82" s="74">
        <v>79</v>
      </c>
      <c r="B82" s="10" t="s">
        <v>1706</v>
      </c>
      <c r="C82" s="234" t="s">
        <v>1717</v>
      </c>
      <c r="D82" s="157" t="s">
        <v>474</v>
      </c>
      <c r="E82" s="157"/>
      <c r="F82" s="29" t="s">
        <v>1719</v>
      </c>
      <c r="G82" s="10"/>
      <c r="H82" s="29" t="s">
        <v>888</v>
      </c>
      <c r="I82" s="157" t="s">
        <v>1718</v>
      </c>
      <c r="J82" s="10"/>
      <c r="K82" s="310" t="s">
        <v>889</v>
      </c>
      <c r="L82" s="10"/>
      <c r="M82" s="11"/>
      <c r="N82" s="29"/>
      <c r="O82" s="10" t="s">
        <v>1048</v>
      </c>
      <c r="P82" s="10" t="s">
        <v>153</v>
      </c>
      <c r="Q82" s="10">
        <v>300</v>
      </c>
      <c r="R82" s="11">
        <v>500000</v>
      </c>
      <c r="S82" s="10">
        <v>300000</v>
      </c>
      <c r="T82" s="10">
        <f t="shared" si="6"/>
        <v>800000</v>
      </c>
      <c r="U82" s="10"/>
      <c r="V82" s="10"/>
      <c r="W82" s="10"/>
      <c r="X82" s="10"/>
      <c r="Y82" s="98">
        <v>0.4</v>
      </c>
      <c r="Z82" s="376">
        <f t="shared" si="5"/>
        <v>320000</v>
      </c>
      <c r="AA82" s="10"/>
      <c r="AB82" s="376">
        <f t="shared" si="7"/>
        <v>544000</v>
      </c>
      <c r="AC82" s="619">
        <f t="shared" si="4"/>
        <v>224000</v>
      </c>
      <c r="AD82" s="10" t="s">
        <v>1722</v>
      </c>
    </row>
    <row r="83" spans="1:31" ht="63" x14ac:dyDescent="0.25">
      <c r="A83" s="311">
        <v>80</v>
      </c>
      <c r="B83" s="19" t="s">
        <v>1706</v>
      </c>
      <c r="C83" s="148" t="s">
        <v>1738</v>
      </c>
      <c r="D83" s="148" t="s">
        <v>350</v>
      </c>
      <c r="E83" s="148"/>
      <c r="F83" s="101" t="s">
        <v>1739</v>
      </c>
      <c r="G83" s="269"/>
      <c r="H83" s="101" t="s">
        <v>1177</v>
      </c>
      <c r="I83" s="148" t="s">
        <v>1740</v>
      </c>
      <c r="J83" s="10"/>
      <c r="K83" s="10" t="s">
        <v>1741</v>
      </c>
      <c r="L83" s="19"/>
      <c r="M83" s="278"/>
      <c r="N83" s="29"/>
      <c r="O83" s="19" t="s">
        <v>1048</v>
      </c>
      <c r="P83" s="19" t="s">
        <v>153</v>
      </c>
      <c r="Q83" s="19">
        <v>300</v>
      </c>
      <c r="R83" s="13">
        <v>500000</v>
      </c>
      <c r="S83" s="19">
        <v>300000</v>
      </c>
      <c r="T83" s="19">
        <f t="shared" si="6"/>
        <v>800000</v>
      </c>
      <c r="U83" s="266"/>
      <c r="V83" s="266"/>
      <c r="W83" s="19"/>
      <c r="X83" s="19"/>
      <c r="Y83" s="165">
        <v>0.4</v>
      </c>
      <c r="Z83" s="376">
        <f t="shared" si="5"/>
        <v>320000</v>
      </c>
      <c r="AA83" s="19"/>
      <c r="AB83" s="376">
        <f t="shared" si="7"/>
        <v>544000</v>
      </c>
      <c r="AC83" s="612">
        <f t="shared" si="4"/>
        <v>224000</v>
      </c>
      <c r="AD83" s="19" t="s">
        <v>1448</v>
      </c>
    </row>
    <row r="84" spans="1:31" ht="47.25" x14ac:dyDescent="0.25">
      <c r="A84" s="113">
        <v>81</v>
      </c>
      <c r="B84" s="19" t="s">
        <v>1706</v>
      </c>
      <c r="C84" s="148" t="s">
        <v>1742</v>
      </c>
      <c r="D84" s="148" t="s">
        <v>1686</v>
      </c>
      <c r="E84" s="148"/>
      <c r="F84" s="101" t="s">
        <v>1743</v>
      </c>
      <c r="G84" s="10"/>
      <c r="H84" s="101" t="s">
        <v>1745</v>
      </c>
      <c r="I84" s="148" t="s">
        <v>1744</v>
      </c>
      <c r="J84" s="10"/>
      <c r="K84" s="10"/>
      <c r="L84" s="19"/>
      <c r="M84" s="13"/>
      <c r="N84" s="29"/>
      <c r="O84" s="19" t="s">
        <v>1422</v>
      </c>
      <c r="P84" s="19" t="s">
        <v>278</v>
      </c>
      <c r="Q84" s="19">
        <v>2000</v>
      </c>
      <c r="R84" s="13">
        <v>500000</v>
      </c>
      <c r="S84" s="19">
        <v>1100000</v>
      </c>
      <c r="T84" s="19">
        <f t="shared" si="6"/>
        <v>1600000</v>
      </c>
      <c r="U84" s="19"/>
      <c r="V84" s="19"/>
      <c r="W84" s="19"/>
      <c r="X84" s="19"/>
      <c r="Y84" s="165">
        <v>0.47</v>
      </c>
      <c r="Z84" s="376">
        <f t="shared" si="5"/>
        <v>752000</v>
      </c>
      <c r="AA84" s="19"/>
      <c r="AB84" s="376">
        <f t="shared" si="7"/>
        <v>1088000</v>
      </c>
      <c r="AC84" s="612">
        <f t="shared" si="4"/>
        <v>336000</v>
      </c>
      <c r="AD84" s="19" t="s">
        <v>2169</v>
      </c>
    </row>
    <row r="85" spans="1:31" ht="63" x14ac:dyDescent="0.25">
      <c r="A85" s="74">
        <v>82</v>
      </c>
      <c r="B85" s="19" t="s">
        <v>1748</v>
      </c>
      <c r="C85" s="148" t="s">
        <v>1493</v>
      </c>
      <c r="D85" s="148"/>
      <c r="E85" s="148"/>
      <c r="F85" s="101" t="s">
        <v>1495</v>
      </c>
      <c r="G85" s="10"/>
      <c r="H85" s="101" t="s">
        <v>1749</v>
      </c>
      <c r="I85" s="148" t="s">
        <v>1494</v>
      </c>
      <c r="J85" s="10" t="s">
        <v>1496</v>
      </c>
      <c r="K85" s="310" t="s">
        <v>1497</v>
      </c>
      <c r="L85" s="19" t="s">
        <v>1750</v>
      </c>
      <c r="M85" s="13"/>
      <c r="N85" s="29" t="s">
        <v>1751</v>
      </c>
      <c r="O85" s="19" t="s">
        <v>299</v>
      </c>
      <c r="P85" s="19" t="s">
        <v>153</v>
      </c>
      <c r="Q85" s="19">
        <v>500</v>
      </c>
      <c r="R85" s="13">
        <v>500000</v>
      </c>
      <c r="S85" s="19">
        <v>425000</v>
      </c>
      <c r="T85" s="19">
        <f t="shared" si="6"/>
        <v>925000</v>
      </c>
      <c r="U85" s="19"/>
      <c r="V85" s="19"/>
      <c r="W85" s="19"/>
      <c r="X85" s="19"/>
      <c r="Y85" s="19"/>
      <c r="Z85" s="376">
        <f t="shared" si="5"/>
        <v>0</v>
      </c>
      <c r="AA85" s="19"/>
      <c r="AB85" s="376">
        <f t="shared" si="7"/>
        <v>629000</v>
      </c>
      <c r="AC85" s="612">
        <f t="shared" si="4"/>
        <v>629000</v>
      </c>
      <c r="AD85" s="19" t="s">
        <v>1828</v>
      </c>
    </row>
    <row r="86" spans="1:31" ht="63" x14ac:dyDescent="0.25">
      <c r="A86" s="311">
        <v>83</v>
      </c>
      <c r="B86" s="19" t="s">
        <v>1761</v>
      </c>
      <c r="C86" s="148" t="s">
        <v>1769</v>
      </c>
      <c r="D86" s="148" t="s">
        <v>350</v>
      </c>
      <c r="E86" s="148"/>
      <c r="F86" s="101" t="s">
        <v>1771</v>
      </c>
      <c r="G86" s="269"/>
      <c r="H86" s="101" t="s">
        <v>1772</v>
      </c>
      <c r="I86" s="148" t="s">
        <v>1770</v>
      </c>
      <c r="J86" s="37" t="s">
        <v>1773</v>
      </c>
      <c r="K86" s="310" t="s">
        <v>1774</v>
      </c>
      <c r="L86" s="19" t="s">
        <v>1775</v>
      </c>
      <c r="M86" s="278"/>
      <c r="N86" s="29"/>
      <c r="O86" s="19" t="s">
        <v>1048</v>
      </c>
      <c r="P86" s="19" t="s">
        <v>153</v>
      </c>
      <c r="Q86" s="19">
        <v>300</v>
      </c>
      <c r="R86" s="13">
        <v>500000</v>
      </c>
      <c r="S86" s="19">
        <v>300000</v>
      </c>
      <c r="T86" s="19">
        <f t="shared" si="6"/>
        <v>800000</v>
      </c>
      <c r="U86" s="266"/>
      <c r="V86" s="266"/>
      <c r="W86" s="19"/>
      <c r="X86" s="19"/>
      <c r="Y86" s="165">
        <v>0.4</v>
      </c>
      <c r="Z86" s="376">
        <f>T86*Y86</f>
        <v>320000</v>
      </c>
      <c r="AA86" s="19"/>
      <c r="AB86" s="376">
        <f t="shared" si="7"/>
        <v>544000</v>
      </c>
      <c r="AC86" s="612">
        <f t="shared" si="4"/>
        <v>224000</v>
      </c>
      <c r="AD86" s="19" t="s">
        <v>1448</v>
      </c>
    </row>
    <row r="87" spans="1:31" ht="60" x14ac:dyDescent="0.25">
      <c r="A87" s="113">
        <v>84</v>
      </c>
      <c r="B87" s="19" t="s">
        <v>1786</v>
      </c>
      <c r="C87" s="405" t="s">
        <v>1787</v>
      </c>
      <c r="D87" s="148" t="s">
        <v>1789</v>
      </c>
      <c r="E87" s="575"/>
      <c r="F87" s="405" t="s">
        <v>1788</v>
      </c>
      <c r="G87" s="10"/>
      <c r="H87" s="101" t="s">
        <v>1790</v>
      </c>
      <c r="I87" s="406" t="s">
        <v>1791</v>
      </c>
      <c r="J87" s="10" t="s">
        <v>1792</v>
      </c>
      <c r="K87" s="310" t="s">
        <v>1793</v>
      </c>
      <c r="L87" s="407" t="s">
        <v>1794</v>
      </c>
      <c r="M87" s="13"/>
      <c r="N87" s="407" t="s">
        <v>1795</v>
      </c>
      <c r="O87" s="19" t="s">
        <v>1048</v>
      </c>
      <c r="P87" s="19" t="s">
        <v>153</v>
      </c>
      <c r="Q87" s="19">
        <v>300</v>
      </c>
      <c r="R87" s="13">
        <v>500000</v>
      </c>
      <c r="S87" s="19">
        <v>300000</v>
      </c>
      <c r="T87" s="19">
        <f t="shared" si="6"/>
        <v>800000</v>
      </c>
      <c r="U87" s="19"/>
      <c r="V87" s="19"/>
      <c r="W87" s="19"/>
      <c r="X87" s="19"/>
      <c r="Y87" s="165">
        <v>0.3</v>
      </c>
      <c r="Z87" s="376">
        <f t="shared" ref="Z87:Z92" si="8">T87*Y87</f>
        <v>240000</v>
      </c>
      <c r="AA87" s="19"/>
      <c r="AB87" s="376">
        <f t="shared" si="7"/>
        <v>544000</v>
      </c>
      <c r="AC87" s="612">
        <f t="shared" si="4"/>
        <v>304000</v>
      </c>
      <c r="AD87" s="19" t="s">
        <v>663</v>
      </c>
    </row>
    <row r="88" spans="1:31" ht="63" x14ac:dyDescent="0.25">
      <c r="A88" s="74">
        <v>85</v>
      </c>
      <c r="B88" s="19" t="s">
        <v>1776</v>
      </c>
      <c r="C88" s="148" t="s">
        <v>1812</v>
      </c>
      <c r="D88" s="148" t="s">
        <v>474</v>
      </c>
      <c r="E88" s="148"/>
      <c r="F88" s="101" t="s">
        <v>1813</v>
      </c>
      <c r="G88" s="10"/>
      <c r="H88" s="101" t="s">
        <v>1827</v>
      </c>
      <c r="I88" s="157" t="s">
        <v>1814</v>
      </c>
      <c r="J88" s="10" t="s">
        <v>361</v>
      </c>
      <c r="K88" s="10"/>
      <c r="L88" s="19"/>
      <c r="M88" s="13"/>
      <c r="N88" s="29"/>
      <c r="O88" s="19" t="s">
        <v>299</v>
      </c>
      <c r="P88" s="19" t="s">
        <v>153</v>
      </c>
      <c r="Q88" s="19">
        <v>500</v>
      </c>
      <c r="R88" s="13">
        <v>500000</v>
      </c>
      <c r="S88" s="19">
        <v>425000</v>
      </c>
      <c r="T88" s="19">
        <f t="shared" si="6"/>
        <v>925000</v>
      </c>
      <c r="U88" s="19"/>
      <c r="V88" s="19"/>
      <c r="W88" s="19"/>
      <c r="X88" s="19"/>
      <c r="Y88" s="165">
        <v>0.4</v>
      </c>
      <c r="Z88" s="376">
        <f t="shared" si="8"/>
        <v>370000</v>
      </c>
      <c r="AA88" s="19"/>
      <c r="AB88" s="376">
        <f t="shared" si="7"/>
        <v>629000</v>
      </c>
      <c r="AC88" s="612">
        <f t="shared" si="4"/>
        <v>259000</v>
      </c>
      <c r="AD88" s="19" t="s">
        <v>1942</v>
      </c>
    </row>
    <row r="89" spans="1:31" ht="63" x14ac:dyDescent="0.25">
      <c r="A89" s="311">
        <v>86</v>
      </c>
      <c r="B89" s="220" t="s">
        <v>1776</v>
      </c>
      <c r="C89" s="242" t="s">
        <v>1817</v>
      </c>
      <c r="D89" s="148" t="s">
        <v>474</v>
      </c>
      <c r="E89" s="148"/>
      <c r="F89" s="101" t="s">
        <v>1818</v>
      </c>
      <c r="G89" s="10"/>
      <c r="H89" s="101" t="s">
        <v>199</v>
      </c>
      <c r="I89" s="157" t="s">
        <v>1819</v>
      </c>
      <c r="J89" s="10" t="s">
        <v>361</v>
      </c>
      <c r="K89" s="10"/>
      <c r="L89" s="19"/>
      <c r="M89" s="13"/>
      <c r="N89" s="29"/>
      <c r="O89" s="19" t="s">
        <v>299</v>
      </c>
      <c r="P89" s="19" t="s">
        <v>153</v>
      </c>
      <c r="Q89" s="19">
        <v>500</v>
      </c>
      <c r="R89" s="13">
        <v>500000</v>
      </c>
      <c r="S89" s="19">
        <v>425000</v>
      </c>
      <c r="T89" s="19">
        <f t="shared" si="6"/>
        <v>925000</v>
      </c>
      <c r="U89" s="19"/>
      <c r="V89" s="19"/>
      <c r="W89" s="19"/>
      <c r="X89" s="19"/>
      <c r="Y89" s="165">
        <v>0.4</v>
      </c>
      <c r="Z89" s="376">
        <f t="shared" si="8"/>
        <v>370000</v>
      </c>
      <c r="AA89" s="19"/>
      <c r="AB89" s="376">
        <f t="shared" si="7"/>
        <v>629000</v>
      </c>
      <c r="AC89" s="612">
        <f t="shared" si="4"/>
        <v>259000</v>
      </c>
      <c r="AD89" s="19" t="s">
        <v>1942</v>
      </c>
    </row>
    <row r="90" spans="1:31" ht="47.25" x14ac:dyDescent="0.25">
      <c r="A90" s="113">
        <v>87</v>
      </c>
      <c r="B90" s="239">
        <v>43475</v>
      </c>
      <c r="C90" s="242" t="s">
        <v>1846</v>
      </c>
      <c r="D90" s="148" t="s">
        <v>1847</v>
      </c>
      <c r="E90" s="148"/>
      <c r="F90" s="101" t="s">
        <v>1848</v>
      </c>
      <c r="G90" s="10"/>
      <c r="H90" s="101" t="s">
        <v>168</v>
      </c>
      <c r="I90" s="148" t="s">
        <v>1849</v>
      </c>
      <c r="J90" s="10" t="s">
        <v>1850</v>
      </c>
      <c r="K90" s="10"/>
      <c r="L90" s="19"/>
      <c r="M90" s="13"/>
      <c r="N90" s="29"/>
      <c r="O90" s="19" t="s">
        <v>398</v>
      </c>
      <c r="P90" s="19" t="s">
        <v>278</v>
      </c>
      <c r="Q90" s="19">
        <v>5000</v>
      </c>
      <c r="R90" s="13">
        <v>500000</v>
      </c>
      <c r="S90" s="19">
        <v>2250000</v>
      </c>
      <c r="T90" s="19">
        <f t="shared" si="6"/>
        <v>2750000</v>
      </c>
      <c r="U90" s="19"/>
      <c r="V90" s="19"/>
      <c r="W90" s="19"/>
      <c r="X90" s="19"/>
      <c r="Y90" s="165">
        <v>0.4</v>
      </c>
      <c r="Z90" s="376">
        <f t="shared" si="8"/>
        <v>1100000</v>
      </c>
      <c r="AA90" s="19"/>
      <c r="AB90" s="376">
        <f t="shared" si="7"/>
        <v>1870000.0000000002</v>
      </c>
      <c r="AC90" s="612">
        <f t="shared" si="4"/>
        <v>770000.00000000023</v>
      </c>
      <c r="AD90" s="19" t="s">
        <v>663</v>
      </c>
    </row>
    <row r="91" spans="1:31" ht="47.25" x14ac:dyDescent="0.25">
      <c r="A91" s="74">
        <v>88</v>
      </c>
      <c r="B91" s="19" t="s">
        <v>1836</v>
      </c>
      <c r="C91" s="148" t="s">
        <v>1851</v>
      </c>
      <c r="D91" s="233" t="s">
        <v>1686</v>
      </c>
      <c r="E91" s="233"/>
      <c r="F91" s="101" t="s">
        <v>1853</v>
      </c>
      <c r="G91" s="10"/>
      <c r="H91" s="101" t="s">
        <v>1854</v>
      </c>
      <c r="I91" s="148" t="s">
        <v>1852</v>
      </c>
      <c r="J91" s="10"/>
      <c r="K91" s="10"/>
      <c r="L91" s="19"/>
      <c r="M91" s="13"/>
      <c r="N91" s="29"/>
      <c r="O91" s="19" t="s">
        <v>1855</v>
      </c>
      <c r="P91" s="19" t="s">
        <v>278</v>
      </c>
      <c r="Q91" s="19">
        <v>1000</v>
      </c>
      <c r="R91" s="13">
        <v>500000</v>
      </c>
      <c r="S91" s="19">
        <v>675000</v>
      </c>
      <c r="T91" s="19">
        <f t="shared" si="6"/>
        <v>1175000</v>
      </c>
      <c r="U91" s="19"/>
      <c r="V91" s="19"/>
      <c r="W91" s="19"/>
      <c r="X91" s="19"/>
      <c r="Y91" s="165">
        <v>0.47</v>
      </c>
      <c r="Z91" s="376">
        <f t="shared" si="8"/>
        <v>552250</v>
      </c>
      <c r="AA91" s="19"/>
      <c r="AB91" s="376">
        <f t="shared" si="7"/>
        <v>799000</v>
      </c>
      <c r="AC91" s="612">
        <f t="shared" si="4"/>
        <v>246750</v>
      </c>
      <c r="AD91" s="19" t="s">
        <v>663</v>
      </c>
    </row>
    <row r="92" spans="1:31" ht="47.25" x14ac:dyDescent="0.25">
      <c r="A92" s="311">
        <v>89</v>
      </c>
      <c r="B92" s="22">
        <v>43534</v>
      </c>
      <c r="C92" s="148" t="s">
        <v>1874</v>
      </c>
      <c r="D92" s="233" t="s">
        <v>1686</v>
      </c>
      <c r="E92" s="233"/>
      <c r="F92" s="101" t="s">
        <v>1875</v>
      </c>
      <c r="G92" s="10"/>
      <c r="H92" s="101" t="s">
        <v>1877</v>
      </c>
      <c r="I92" s="148" t="s">
        <v>1876</v>
      </c>
      <c r="J92" s="10"/>
      <c r="K92" s="10"/>
      <c r="L92" s="19"/>
      <c r="M92" s="13"/>
      <c r="N92" s="29"/>
      <c r="O92" s="19" t="s">
        <v>1878</v>
      </c>
      <c r="P92" s="19" t="s">
        <v>153</v>
      </c>
      <c r="Q92" s="19">
        <v>5000</v>
      </c>
      <c r="R92" s="13">
        <v>500000</v>
      </c>
      <c r="S92" s="19">
        <v>2250000</v>
      </c>
      <c r="T92" s="19">
        <f t="shared" si="6"/>
        <v>2750000</v>
      </c>
      <c r="U92" s="19"/>
      <c r="V92" s="19"/>
      <c r="W92" s="19"/>
      <c r="X92" s="19"/>
      <c r="Y92" s="165">
        <v>0.47</v>
      </c>
      <c r="Z92" s="376">
        <f t="shared" si="8"/>
        <v>1292500</v>
      </c>
      <c r="AA92" s="19"/>
      <c r="AB92" s="376">
        <f t="shared" si="7"/>
        <v>1870000.0000000002</v>
      </c>
      <c r="AC92" s="612">
        <f t="shared" si="4"/>
        <v>577500.00000000023</v>
      </c>
      <c r="AD92" s="19" t="s">
        <v>663</v>
      </c>
    </row>
    <row r="93" spans="1:31" ht="63" x14ac:dyDescent="0.25">
      <c r="A93" s="113">
        <v>90</v>
      </c>
      <c r="B93" s="22">
        <v>43565</v>
      </c>
      <c r="C93" s="148" t="s">
        <v>1146</v>
      </c>
      <c r="D93" s="148" t="s">
        <v>1879</v>
      </c>
      <c r="E93" s="148"/>
      <c r="F93" s="101" t="s">
        <v>1147</v>
      </c>
      <c r="G93" s="10"/>
      <c r="H93" s="101" t="s">
        <v>1880</v>
      </c>
      <c r="I93" s="148" t="s">
        <v>1881</v>
      </c>
      <c r="J93" s="10"/>
      <c r="K93" s="10"/>
      <c r="L93" s="19"/>
      <c r="M93" s="13"/>
      <c r="N93" s="29"/>
      <c r="O93" s="19" t="s">
        <v>1855</v>
      </c>
      <c r="P93" s="19" t="s">
        <v>94</v>
      </c>
      <c r="Q93" s="19">
        <v>1000</v>
      </c>
      <c r="R93" s="13">
        <v>0</v>
      </c>
      <c r="S93" s="19">
        <v>675000</v>
      </c>
      <c r="T93" s="19">
        <f t="shared" ref="T93:T99" si="9">R93+S93</f>
        <v>675000</v>
      </c>
      <c r="U93" s="19"/>
      <c r="V93" s="19"/>
      <c r="W93" s="19"/>
      <c r="X93" s="19"/>
      <c r="Y93" s="165">
        <v>0.3</v>
      </c>
      <c r="Z93" s="376">
        <v>275000</v>
      </c>
      <c r="AA93" s="19"/>
      <c r="AB93" s="376">
        <f t="shared" si="7"/>
        <v>459000.00000000006</v>
      </c>
      <c r="AC93" s="612">
        <f t="shared" si="4"/>
        <v>184000.00000000006</v>
      </c>
      <c r="AD93" s="19" t="s">
        <v>663</v>
      </c>
    </row>
    <row r="94" spans="1:31" ht="47.25" x14ac:dyDescent="0.25">
      <c r="A94" s="74">
        <v>91</v>
      </c>
      <c r="B94" s="19" t="s">
        <v>1980</v>
      </c>
      <c r="C94" s="148" t="s">
        <v>2002</v>
      </c>
      <c r="D94" s="148"/>
      <c r="E94" s="148"/>
      <c r="F94" s="101" t="s">
        <v>2003</v>
      </c>
      <c r="G94" s="10"/>
      <c r="H94" s="101" t="s">
        <v>2005</v>
      </c>
      <c r="I94" s="148" t="s">
        <v>2004</v>
      </c>
      <c r="J94" s="10"/>
      <c r="K94" s="10"/>
      <c r="L94" s="19" t="s">
        <v>2006</v>
      </c>
      <c r="M94" s="13"/>
      <c r="N94" s="29"/>
      <c r="O94" s="19" t="s">
        <v>1855</v>
      </c>
      <c r="P94" s="19" t="s">
        <v>278</v>
      </c>
      <c r="Q94" s="19">
        <v>1000</v>
      </c>
      <c r="R94" s="13">
        <v>500000</v>
      </c>
      <c r="S94" s="19">
        <v>675000</v>
      </c>
      <c r="T94" s="19">
        <f t="shared" si="9"/>
        <v>1175000</v>
      </c>
      <c r="U94" s="19"/>
      <c r="V94" s="19"/>
      <c r="W94" s="19"/>
      <c r="X94" s="19"/>
      <c r="Y94" s="19"/>
      <c r="Z94" s="376"/>
      <c r="AA94" s="19"/>
      <c r="AB94" s="376">
        <f t="shared" si="7"/>
        <v>799000</v>
      </c>
      <c r="AC94" s="612">
        <f t="shared" si="4"/>
        <v>799000</v>
      </c>
      <c r="AD94" s="19" t="s">
        <v>2007</v>
      </c>
    </row>
    <row r="95" spans="1:31" ht="47.25" x14ac:dyDescent="0.25">
      <c r="A95" s="311">
        <v>92</v>
      </c>
      <c r="B95" s="19" t="s">
        <v>1980</v>
      </c>
      <c r="C95" s="148" t="s">
        <v>2008</v>
      </c>
      <c r="D95" s="148" t="s">
        <v>2012</v>
      </c>
      <c r="E95" s="148"/>
      <c r="F95" s="101" t="s">
        <v>2009</v>
      </c>
      <c r="G95" s="10"/>
      <c r="H95" s="101" t="s">
        <v>2011</v>
      </c>
      <c r="I95" s="148" t="s">
        <v>2010</v>
      </c>
      <c r="J95" s="10" t="s">
        <v>2013</v>
      </c>
      <c r="K95" s="10"/>
      <c r="L95" s="19" t="s">
        <v>2014</v>
      </c>
      <c r="M95" s="13"/>
      <c r="N95" s="29"/>
      <c r="O95" s="19" t="s">
        <v>299</v>
      </c>
      <c r="P95" s="19" t="s">
        <v>153</v>
      </c>
      <c r="Q95" s="19">
        <v>500</v>
      </c>
      <c r="R95" s="13">
        <v>500000</v>
      </c>
      <c r="S95" s="19">
        <v>425000</v>
      </c>
      <c r="T95" s="19">
        <f t="shared" si="9"/>
        <v>925000</v>
      </c>
      <c r="U95" s="19"/>
      <c r="V95" s="19"/>
      <c r="W95" s="19"/>
      <c r="X95" s="19"/>
      <c r="Y95" s="165">
        <v>0.3</v>
      </c>
      <c r="Z95" s="376">
        <f>T95*Y95</f>
        <v>277500</v>
      </c>
      <c r="AA95" s="19"/>
      <c r="AB95" s="376">
        <f t="shared" si="7"/>
        <v>629000</v>
      </c>
      <c r="AC95" s="612">
        <f t="shared" si="4"/>
        <v>351500</v>
      </c>
      <c r="AD95" s="19" t="s">
        <v>2289</v>
      </c>
    </row>
    <row r="96" spans="1:31" ht="47.25" x14ac:dyDescent="0.25">
      <c r="A96" s="113">
        <v>93</v>
      </c>
      <c r="B96" s="19" t="s">
        <v>2057</v>
      </c>
      <c r="C96" s="148" t="s">
        <v>1559</v>
      </c>
      <c r="D96" s="148"/>
      <c r="E96" s="148"/>
      <c r="F96" s="101" t="s">
        <v>1560</v>
      </c>
      <c r="G96" s="10"/>
      <c r="H96" s="101" t="s">
        <v>448</v>
      </c>
      <c r="I96" s="148" t="s">
        <v>1561</v>
      </c>
      <c r="J96" s="10" t="s">
        <v>1562</v>
      </c>
      <c r="K96" s="10"/>
      <c r="L96" s="407" t="s">
        <v>2058</v>
      </c>
      <c r="M96" s="13"/>
      <c r="N96" s="407" t="s">
        <v>2059</v>
      </c>
      <c r="O96" s="19" t="s">
        <v>299</v>
      </c>
      <c r="P96" s="19" t="s">
        <v>153</v>
      </c>
      <c r="Q96" s="19">
        <v>500</v>
      </c>
      <c r="R96" s="13">
        <v>500000</v>
      </c>
      <c r="S96" s="19">
        <v>425000</v>
      </c>
      <c r="T96" s="19">
        <f t="shared" si="9"/>
        <v>925000</v>
      </c>
      <c r="U96" s="19"/>
      <c r="V96" s="19"/>
      <c r="W96" s="19"/>
      <c r="X96" s="19"/>
      <c r="Y96" s="19"/>
      <c r="Z96" s="376"/>
      <c r="AA96" s="19"/>
      <c r="AB96" s="376">
        <f t="shared" si="7"/>
        <v>629000</v>
      </c>
      <c r="AC96" s="612">
        <f t="shared" si="4"/>
        <v>629000</v>
      </c>
      <c r="AD96" s="19" t="s">
        <v>663</v>
      </c>
    </row>
    <row r="97" spans="1:31" ht="63" x14ac:dyDescent="0.25">
      <c r="A97" s="74">
        <v>94</v>
      </c>
      <c r="B97" s="19" t="s">
        <v>2063</v>
      </c>
      <c r="C97" s="148" t="s">
        <v>2064</v>
      </c>
      <c r="D97" s="148" t="s">
        <v>2065</v>
      </c>
      <c r="E97" s="148"/>
      <c r="F97" s="101" t="s">
        <v>2066</v>
      </c>
      <c r="G97" s="10"/>
      <c r="H97" s="101" t="s">
        <v>659</v>
      </c>
      <c r="I97" s="148" t="s">
        <v>2067</v>
      </c>
      <c r="J97" s="10" t="s">
        <v>2068</v>
      </c>
      <c r="K97" s="10"/>
      <c r="L97" s="407"/>
      <c r="M97" s="13"/>
      <c r="N97" s="407"/>
      <c r="O97" s="19" t="s">
        <v>1048</v>
      </c>
      <c r="P97" s="19" t="s">
        <v>153</v>
      </c>
      <c r="Q97" s="19">
        <v>300</v>
      </c>
      <c r="R97" s="13">
        <v>500000</v>
      </c>
      <c r="S97" s="19">
        <v>300000</v>
      </c>
      <c r="T97" s="19">
        <f t="shared" si="9"/>
        <v>800000</v>
      </c>
      <c r="U97" s="19"/>
      <c r="V97" s="19"/>
      <c r="W97" s="19"/>
      <c r="X97" s="19"/>
      <c r="Y97" s="165">
        <v>0.4</v>
      </c>
      <c r="Z97" s="376">
        <f>T97*Y97</f>
        <v>320000</v>
      </c>
      <c r="AA97" s="19"/>
      <c r="AB97" s="376">
        <f t="shared" si="7"/>
        <v>544000</v>
      </c>
      <c r="AC97" s="612">
        <f t="shared" si="4"/>
        <v>224000</v>
      </c>
      <c r="AD97" s="19" t="s">
        <v>663</v>
      </c>
    </row>
    <row r="98" spans="1:31" s="36" customFormat="1" ht="78.75" x14ac:dyDescent="0.25">
      <c r="A98" s="311">
        <v>95</v>
      </c>
      <c r="B98" s="18" t="s">
        <v>2063</v>
      </c>
      <c r="C98" s="134" t="s">
        <v>2092</v>
      </c>
      <c r="D98" s="134" t="s">
        <v>1260</v>
      </c>
      <c r="E98" s="134"/>
      <c r="F98" s="379" t="s">
        <v>2093</v>
      </c>
      <c r="G98" s="269"/>
      <c r="H98" s="379" t="s">
        <v>345</v>
      </c>
      <c r="I98" s="134" t="s">
        <v>2094</v>
      </c>
      <c r="J98" s="78"/>
      <c r="K98" s="78"/>
      <c r="L98" s="18" t="s">
        <v>2095</v>
      </c>
      <c r="M98" s="278"/>
      <c r="N98" s="275" t="s">
        <v>2096</v>
      </c>
      <c r="O98" s="18" t="s">
        <v>1855</v>
      </c>
      <c r="P98" s="18" t="s">
        <v>278</v>
      </c>
      <c r="Q98" s="18">
        <v>1000</v>
      </c>
      <c r="R98" s="333">
        <v>500000</v>
      </c>
      <c r="S98" s="18">
        <v>675000</v>
      </c>
      <c r="T98" s="18">
        <f t="shared" si="9"/>
        <v>1175000</v>
      </c>
      <c r="U98" s="266"/>
      <c r="V98" s="266"/>
      <c r="W98" s="266"/>
      <c r="X98" s="266"/>
      <c r="Y98" s="87">
        <v>0.4</v>
      </c>
      <c r="Z98" s="414">
        <f>T98*Y98</f>
        <v>470000</v>
      </c>
      <c r="AA98" s="18"/>
      <c r="AB98" s="414">
        <f t="shared" si="7"/>
        <v>799000</v>
      </c>
      <c r="AC98" s="620">
        <f t="shared" ref="AC98:AC161" si="10">AB98-Z98</f>
        <v>329000</v>
      </c>
      <c r="AD98" s="18" t="s">
        <v>2417</v>
      </c>
    </row>
    <row r="99" spans="1:31" ht="47.25" x14ac:dyDescent="0.25">
      <c r="A99" s="113">
        <v>96</v>
      </c>
      <c r="B99" s="19" t="s">
        <v>2109</v>
      </c>
      <c r="C99" s="148" t="s">
        <v>2116</v>
      </c>
      <c r="D99" s="148" t="s">
        <v>350</v>
      </c>
      <c r="E99" s="148"/>
      <c r="F99" s="101" t="s">
        <v>2117</v>
      </c>
      <c r="G99" s="269"/>
      <c r="H99" s="101" t="s">
        <v>888</v>
      </c>
      <c r="I99" s="148" t="s">
        <v>2119</v>
      </c>
      <c r="J99" s="10" t="s">
        <v>2120</v>
      </c>
      <c r="K99" s="10"/>
      <c r="L99" s="19" t="s">
        <v>2118</v>
      </c>
      <c r="M99" s="278"/>
      <c r="N99" s="29" t="s">
        <v>2121</v>
      </c>
      <c r="O99" s="19" t="s">
        <v>1048</v>
      </c>
      <c r="P99" s="19" t="s">
        <v>153</v>
      </c>
      <c r="Q99" s="19">
        <v>300</v>
      </c>
      <c r="R99" s="13">
        <v>500000</v>
      </c>
      <c r="S99" s="19">
        <v>300000</v>
      </c>
      <c r="T99" s="19">
        <f t="shared" si="9"/>
        <v>800000</v>
      </c>
      <c r="U99" s="266"/>
      <c r="V99" s="266"/>
      <c r="W99" s="19"/>
      <c r="X99" s="19"/>
      <c r="Y99" s="165">
        <v>0.4</v>
      </c>
      <c r="Z99" s="376">
        <f>T99*Y99</f>
        <v>320000</v>
      </c>
      <c r="AA99" s="19"/>
      <c r="AB99" s="376">
        <f t="shared" si="7"/>
        <v>544000</v>
      </c>
      <c r="AC99" s="612">
        <f t="shared" si="10"/>
        <v>224000</v>
      </c>
      <c r="AD99" s="19" t="s">
        <v>1448</v>
      </c>
    </row>
    <row r="100" spans="1:31" s="496" customFormat="1" ht="63" x14ac:dyDescent="0.25">
      <c r="A100" s="74">
        <v>97</v>
      </c>
      <c r="B100" s="491">
        <v>43770</v>
      </c>
      <c r="C100" s="492" t="s">
        <v>2134</v>
      </c>
      <c r="D100" s="492" t="s">
        <v>1260</v>
      </c>
      <c r="E100" s="492"/>
      <c r="F100" s="493" t="s">
        <v>2135</v>
      </c>
      <c r="G100" s="269"/>
      <c r="H100" s="493" t="s">
        <v>1177</v>
      </c>
      <c r="I100" s="492" t="s">
        <v>2136</v>
      </c>
      <c r="J100" s="490" t="s">
        <v>2137</v>
      </c>
      <c r="K100" s="490"/>
      <c r="L100" s="490"/>
      <c r="M100" s="278"/>
      <c r="N100" s="493" t="s">
        <v>2138</v>
      </c>
      <c r="O100" s="490" t="s">
        <v>1048</v>
      </c>
      <c r="P100" s="490" t="s">
        <v>153</v>
      </c>
      <c r="Q100" s="490">
        <v>300</v>
      </c>
      <c r="R100" s="494">
        <v>500000</v>
      </c>
      <c r="S100" s="490">
        <v>300000</v>
      </c>
      <c r="T100" s="490">
        <f t="shared" ref="T100:T163" si="11">R100+S100</f>
        <v>800000</v>
      </c>
      <c r="U100" s="266"/>
      <c r="V100" s="266"/>
      <c r="W100" s="266"/>
      <c r="X100" s="266"/>
      <c r="Y100" s="495">
        <v>0.4</v>
      </c>
      <c r="Z100" s="376">
        <f>T100*Y100</f>
        <v>320000</v>
      </c>
      <c r="AA100" s="490"/>
      <c r="AB100" s="376">
        <f t="shared" si="7"/>
        <v>544000</v>
      </c>
      <c r="AC100" s="621">
        <f t="shared" si="10"/>
        <v>224000</v>
      </c>
      <c r="AD100" s="490" t="s">
        <v>2418</v>
      </c>
    </row>
    <row r="101" spans="1:31" ht="31.5" x14ac:dyDescent="0.25">
      <c r="A101" s="311">
        <v>98</v>
      </c>
      <c r="B101" s="22">
        <v>43770</v>
      </c>
      <c r="C101" s="148" t="s">
        <v>1146</v>
      </c>
      <c r="D101" s="148"/>
      <c r="E101" s="148"/>
      <c r="F101" s="101" t="s">
        <v>1147</v>
      </c>
      <c r="G101" s="10"/>
      <c r="H101" s="101" t="s">
        <v>1243</v>
      </c>
      <c r="I101" s="148"/>
      <c r="J101" s="10"/>
      <c r="K101" s="10"/>
      <c r="L101" s="19"/>
      <c r="M101" s="13"/>
      <c r="N101" s="249"/>
      <c r="O101" s="19" t="s">
        <v>1484</v>
      </c>
      <c r="P101" s="19" t="s">
        <v>94</v>
      </c>
      <c r="Q101" s="19">
        <v>1000</v>
      </c>
      <c r="R101" s="13"/>
      <c r="S101" s="19">
        <v>675000</v>
      </c>
      <c r="T101" s="19">
        <f t="shared" si="11"/>
        <v>675000</v>
      </c>
      <c r="U101" s="19"/>
      <c r="V101" s="19"/>
      <c r="W101" s="19"/>
      <c r="X101" s="19"/>
      <c r="Y101" s="19"/>
      <c r="Z101" s="376">
        <f t="shared" ref="Z101:Z108" si="12">T101*Y101</f>
        <v>0</v>
      </c>
      <c r="AA101" s="19"/>
      <c r="AB101" s="376">
        <f t="shared" si="7"/>
        <v>459000.00000000006</v>
      </c>
      <c r="AC101" s="612">
        <f t="shared" si="10"/>
        <v>459000.00000000006</v>
      </c>
      <c r="AD101" s="19" t="s">
        <v>663</v>
      </c>
    </row>
    <row r="102" spans="1:31" s="217" customFormat="1" ht="47.25" x14ac:dyDescent="0.25">
      <c r="A102" s="113">
        <v>99</v>
      </c>
      <c r="B102" s="239">
        <v>43777</v>
      </c>
      <c r="C102" s="242" t="s">
        <v>2155</v>
      </c>
      <c r="D102" s="242" t="s">
        <v>474</v>
      </c>
      <c r="E102" s="242"/>
      <c r="F102" s="244" t="s">
        <v>2106</v>
      </c>
      <c r="G102" s="274"/>
      <c r="H102" s="244" t="s">
        <v>1772</v>
      </c>
      <c r="I102" s="242" t="s">
        <v>2156</v>
      </c>
      <c r="J102" s="220" t="s">
        <v>2167</v>
      </c>
      <c r="K102" s="417" t="s">
        <v>889</v>
      </c>
      <c r="L102" s="220" t="s">
        <v>2168</v>
      </c>
      <c r="M102" s="273"/>
      <c r="N102" s="399"/>
      <c r="O102" s="220" t="s">
        <v>299</v>
      </c>
      <c r="P102" s="220" t="s">
        <v>278</v>
      </c>
      <c r="Q102" s="220">
        <v>500</v>
      </c>
      <c r="R102" s="214">
        <v>500000</v>
      </c>
      <c r="S102" s="220">
        <v>425000</v>
      </c>
      <c r="T102" s="220">
        <f t="shared" si="11"/>
        <v>925000</v>
      </c>
      <c r="U102" s="274"/>
      <c r="V102" s="274"/>
      <c r="W102" s="274"/>
      <c r="X102" s="274"/>
      <c r="Y102" s="243">
        <v>0.4</v>
      </c>
      <c r="Z102" s="376">
        <f t="shared" si="12"/>
        <v>370000</v>
      </c>
      <c r="AA102" s="220"/>
      <c r="AB102" s="376">
        <f t="shared" si="7"/>
        <v>629000</v>
      </c>
      <c r="AC102" s="612">
        <f t="shared" si="10"/>
        <v>259000</v>
      </c>
      <c r="AD102" s="220" t="s">
        <v>1641</v>
      </c>
      <c r="AE102" s="217" t="s">
        <v>2920</v>
      </c>
    </row>
    <row r="103" spans="1:31" s="481" customFormat="1" ht="63" x14ac:dyDescent="0.25">
      <c r="A103" s="74">
        <v>100</v>
      </c>
      <c r="B103" s="476">
        <v>43780</v>
      </c>
      <c r="C103" s="387" t="s">
        <v>2161</v>
      </c>
      <c r="D103" s="509" t="s">
        <v>2163</v>
      </c>
      <c r="E103" s="509"/>
      <c r="F103" s="509" t="s">
        <v>2162</v>
      </c>
      <c r="G103" s="274"/>
      <c r="H103" s="478" t="s">
        <v>199</v>
      </c>
      <c r="I103" s="477" t="s">
        <v>2164</v>
      </c>
      <c r="J103" s="274"/>
      <c r="K103" s="510" t="s">
        <v>2166</v>
      </c>
      <c r="L103" s="274" t="s">
        <v>2165</v>
      </c>
      <c r="M103" s="273"/>
      <c r="N103" s="479"/>
      <c r="O103" s="274" t="s">
        <v>1048</v>
      </c>
      <c r="P103" s="274" t="s">
        <v>153</v>
      </c>
      <c r="Q103" s="274">
        <v>300</v>
      </c>
      <c r="R103" s="273">
        <v>500000</v>
      </c>
      <c r="S103" s="274">
        <v>300000</v>
      </c>
      <c r="T103" s="274">
        <f t="shared" si="11"/>
        <v>800000</v>
      </c>
      <c r="U103" s="274"/>
      <c r="V103" s="274"/>
      <c r="W103" s="274"/>
      <c r="X103" s="274"/>
      <c r="Y103" s="480">
        <v>0.4</v>
      </c>
      <c r="Z103" s="605">
        <f t="shared" si="12"/>
        <v>320000</v>
      </c>
      <c r="AA103" s="274"/>
      <c r="AB103" s="605">
        <f t="shared" si="7"/>
        <v>544000</v>
      </c>
      <c r="AC103" s="613">
        <f t="shared" si="10"/>
        <v>224000</v>
      </c>
      <c r="AD103" s="274"/>
      <c r="AE103" s="481" t="s">
        <v>2921</v>
      </c>
    </row>
    <row r="104" spans="1:31" ht="63" x14ac:dyDescent="0.25">
      <c r="A104" s="311">
        <v>101</v>
      </c>
      <c r="B104" s="22">
        <v>43810</v>
      </c>
      <c r="C104" s="148" t="s">
        <v>2177</v>
      </c>
      <c r="D104" s="148"/>
      <c r="E104" s="575"/>
      <c r="F104" s="464" t="s">
        <v>2178</v>
      </c>
      <c r="G104" s="10"/>
      <c r="H104" s="101" t="s">
        <v>2180</v>
      </c>
      <c r="I104" s="148" t="s">
        <v>2179</v>
      </c>
      <c r="J104" s="10" t="s">
        <v>2181</v>
      </c>
      <c r="K104" s="10"/>
      <c r="L104" s="19" t="s">
        <v>2182</v>
      </c>
      <c r="M104" s="13"/>
      <c r="N104" s="249"/>
      <c r="O104" s="19" t="s">
        <v>1048</v>
      </c>
      <c r="P104" s="19" t="s">
        <v>153</v>
      </c>
      <c r="Q104" s="19">
        <v>300</v>
      </c>
      <c r="R104" s="13">
        <v>500000</v>
      </c>
      <c r="S104" s="19">
        <v>300000</v>
      </c>
      <c r="T104" s="19">
        <f t="shared" si="11"/>
        <v>800000</v>
      </c>
      <c r="U104" s="19"/>
      <c r="V104" s="19"/>
      <c r="W104" s="19"/>
      <c r="X104" s="19"/>
      <c r="Y104" s="165">
        <v>0.4</v>
      </c>
      <c r="Z104" s="376">
        <f t="shared" si="12"/>
        <v>320000</v>
      </c>
      <c r="AA104" s="19"/>
      <c r="AB104" s="376">
        <f t="shared" si="7"/>
        <v>544000</v>
      </c>
      <c r="AC104" s="376">
        <f t="shared" si="10"/>
        <v>224000</v>
      </c>
      <c r="AD104" s="19" t="s">
        <v>2271</v>
      </c>
    </row>
    <row r="105" spans="1:31" ht="63" x14ac:dyDescent="0.25">
      <c r="A105" s="113">
        <v>102</v>
      </c>
      <c r="B105" s="22">
        <v>43810</v>
      </c>
      <c r="C105" s="148" t="s">
        <v>2197</v>
      </c>
      <c r="D105" s="148" t="s">
        <v>1686</v>
      </c>
      <c r="E105" s="148"/>
      <c r="F105" s="153" t="s">
        <v>2198</v>
      </c>
      <c r="G105" s="10"/>
      <c r="H105" s="101" t="s">
        <v>2199</v>
      </c>
      <c r="I105" s="148" t="s">
        <v>2200</v>
      </c>
      <c r="J105" s="10"/>
      <c r="K105" s="10"/>
      <c r="L105" s="19"/>
      <c r="M105" s="13"/>
      <c r="N105" s="249"/>
      <c r="O105" s="19" t="s">
        <v>1484</v>
      </c>
      <c r="P105" s="19" t="s">
        <v>153</v>
      </c>
      <c r="Q105" s="19">
        <v>1000</v>
      </c>
      <c r="R105" s="13">
        <v>500000</v>
      </c>
      <c r="S105" s="19">
        <v>675000</v>
      </c>
      <c r="T105" s="19">
        <f t="shared" si="11"/>
        <v>1175000</v>
      </c>
      <c r="U105" s="19"/>
      <c r="V105" s="19"/>
      <c r="W105" s="25"/>
      <c r="X105" s="19"/>
      <c r="Y105" s="165">
        <v>0.47</v>
      </c>
      <c r="Z105" s="376">
        <f t="shared" si="12"/>
        <v>552250</v>
      </c>
      <c r="AA105" s="19"/>
      <c r="AB105" s="376">
        <f t="shared" si="7"/>
        <v>799000</v>
      </c>
      <c r="AC105" s="376">
        <f t="shared" si="10"/>
        <v>246750</v>
      </c>
      <c r="AD105" s="19" t="s">
        <v>1746</v>
      </c>
    </row>
    <row r="106" spans="1:31" s="7" customFormat="1" ht="47.25" x14ac:dyDescent="0.25">
      <c r="A106" s="74">
        <v>103</v>
      </c>
      <c r="B106" s="10" t="s">
        <v>2202</v>
      </c>
      <c r="C106" s="157" t="s">
        <v>2207</v>
      </c>
      <c r="D106" s="157" t="s">
        <v>984</v>
      </c>
      <c r="E106" s="157"/>
      <c r="F106" s="175" t="s">
        <v>2208</v>
      </c>
      <c r="G106" s="10"/>
      <c r="H106" s="29" t="s">
        <v>273</v>
      </c>
      <c r="I106" s="157" t="s">
        <v>2209</v>
      </c>
      <c r="J106" s="10"/>
      <c r="K106" s="10"/>
      <c r="L106" s="10"/>
      <c r="M106" s="11"/>
      <c r="N106" s="249"/>
      <c r="O106" s="10" t="s">
        <v>1048</v>
      </c>
      <c r="P106" s="10" t="s">
        <v>153</v>
      </c>
      <c r="Q106" s="10">
        <v>300</v>
      </c>
      <c r="R106" s="11">
        <v>500000</v>
      </c>
      <c r="S106" s="10">
        <v>300000</v>
      </c>
      <c r="T106" s="10">
        <f t="shared" si="11"/>
        <v>800000</v>
      </c>
      <c r="U106" s="10"/>
      <c r="V106" s="10"/>
      <c r="W106" s="10"/>
      <c r="X106" s="10"/>
      <c r="Y106" s="98">
        <v>0.3</v>
      </c>
      <c r="Z106" s="376">
        <f t="shared" si="12"/>
        <v>240000</v>
      </c>
      <c r="AA106" s="10"/>
      <c r="AB106" s="376">
        <f t="shared" si="7"/>
        <v>544000</v>
      </c>
      <c r="AC106" s="38">
        <f t="shared" si="10"/>
        <v>304000</v>
      </c>
      <c r="AD106" s="10" t="s">
        <v>2471</v>
      </c>
    </row>
    <row r="107" spans="1:31" s="215" customFormat="1" ht="47.25" x14ac:dyDescent="0.25">
      <c r="A107" s="311">
        <v>104</v>
      </c>
      <c r="B107" s="237" t="s">
        <v>2242</v>
      </c>
      <c r="C107" s="511" t="s">
        <v>2475</v>
      </c>
      <c r="D107" s="511" t="s">
        <v>1260</v>
      </c>
      <c r="E107" s="511"/>
      <c r="F107" s="512" t="s">
        <v>2232</v>
      </c>
      <c r="G107" s="274"/>
      <c r="H107" s="513" t="s">
        <v>1639</v>
      </c>
      <c r="I107" s="511" t="s">
        <v>2255</v>
      </c>
      <c r="J107" s="237"/>
      <c r="K107" s="237"/>
      <c r="L107" s="237"/>
      <c r="M107" s="273"/>
      <c r="N107" s="514"/>
      <c r="O107" s="237" t="s">
        <v>1048</v>
      </c>
      <c r="P107" s="237" t="s">
        <v>153</v>
      </c>
      <c r="Q107" s="237">
        <v>300</v>
      </c>
      <c r="R107" s="277">
        <v>500000</v>
      </c>
      <c r="S107" s="237">
        <v>300000</v>
      </c>
      <c r="T107" s="237">
        <f t="shared" si="11"/>
        <v>800000</v>
      </c>
      <c r="U107" s="274"/>
      <c r="V107" s="274"/>
      <c r="W107" s="274"/>
      <c r="X107" s="274"/>
      <c r="Y107" s="515">
        <v>0.4</v>
      </c>
      <c r="Z107" s="414">
        <f t="shared" si="12"/>
        <v>320000</v>
      </c>
      <c r="AA107" s="237"/>
      <c r="AB107" s="414">
        <f t="shared" si="7"/>
        <v>544000</v>
      </c>
      <c r="AC107" s="414">
        <f t="shared" si="10"/>
        <v>224000</v>
      </c>
      <c r="AD107" s="237" t="s">
        <v>2417</v>
      </c>
      <c r="AE107" s="215" t="s">
        <v>2922</v>
      </c>
    </row>
    <row r="108" spans="1:31" s="272" customFormat="1" ht="47.25" x14ac:dyDescent="0.25">
      <c r="A108" s="113">
        <v>105</v>
      </c>
      <c r="B108" s="266" t="s">
        <v>2266</v>
      </c>
      <c r="C108" s="358" t="s">
        <v>2267</v>
      </c>
      <c r="D108" s="358" t="s">
        <v>984</v>
      </c>
      <c r="E108" s="358"/>
      <c r="F108" s="449" t="s">
        <v>2268</v>
      </c>
      <c r="G108" s="269"/>
      <c r="H108" s="335" t="s">
        <v>2269</v>
      </c>
      <c r="I108" s="358" t="s">
        <v>2270</v>
      </c>
      <c r="J108" s="269"/>
      <c r="K108" s="269"/>
      <c r="L108" s="266"/>
      <c r="M108" s="278"/>
      <c r="N108" s="439"/>
      <c r="O108" s="266" t="s">
        <v>1048</v>
      </c>
      <c r="P108" s="266" t="s">
        <v>153</v>
      </c>
      <c r="Q108" s="266">
        <v>300</v>
      </c>
      <c r="R108" s="278">
        <v>500000</v>
      </c>
      <c r="S108" s="266">
        <v>300000</v>
      </c>
      <c r="T108" s="266">
        <f t="shared" si="11"/>
        <v>800000</v>
      </c>
      <c r="U108" s="266"/>
      <c r="V108" s="266"/>
      <c r="W108" s="266"/>
      <c r="X108" s="266"/>
      <c r="Y108" s="271">
        <v>0.3</v>
      </c>
      <c r="Z108" s="605">
        <f t="shared" si="12"/>
        <v>240000</v>
      </c>
      <c r="AA108" s="266"/>
      <c r="AB108" s="605">
        <f t="shared" si="7"/>
        <v>544000</v>
      </c>
      <c r="AC108" s="605">
        <f t="shared" si="10"/>
        <v>304000</v>
      </c>
      <c r="AD108" s="266"/>
    </row>
    <row r="109" spans="1:31" ht="47.25" x14ac:dyDescent="0.25">
      <c r="A109" s="74">
        <v>106</v>
      </c>
      <c r="B109" s="19" t="s">
        <v>2266</v>
      </c>
      <c r="C109" s="148" t="s">
        <v>1717</v>
      </c>
      <c r="D109" s="148"/>
      <c r="E109" s="148"/>
      <c r="F109" s="153" t="s">
        <v>2280</v>
      </c>
      <c r="G109" s="10"/>
      <c r="H109" s="101" t="s">
        <v>888</v>
      </c>
      <c r="I109" s="148" t="s">
        <v>2281</v>
      </c>
      <c r="J109" s="10" t="s">
        <v>2282</v>
      </c>
      <c r="K109" s="10"/>
      <c r="L109" s="19"/>
      <c r="M109" s="13"/>
      <c r="N109" s="249"/>
      <c r="O109" s="19" t="s">
        <v>1048</v>
      </c>
      <c r="P109" s="19" t="s">
        <v>94</v>
      </c>
      <c r="Q109" s="19">
        <v>300</v>
      </c>
      <c r="R109" s="13"/>
      <c r="S109" s="19">
        <v>300000</v>
      </c>
      <c r="T109" s="19">
        <f t="shared" si="11"/>
        <v>300000</v>
      </c>
      <c r="U109" s="19"/>
      <c r="V109" s="19"/>
      <c r="W109" s="19"/>
      <c r="X109" s="19"/>
      <c r="Y109" s="19"/>
      <c r="Z109" s="376"/>
      <c r="AA109" s="19"/>
      <c r="AB109" s="376">
        <f t="shared" si="7"/>
        <v>204000.00000000003</v>
      </c>
      <c r="AC109" s="376">
        <f t="shared" si="10"/>
        <v>204000.00000000003</v>
      </c>
      <c r="AD109" s="19" t="s">
        <v>2283</v>
      </c>
    </row>
    <row r="110" spans="1:31" ht="47.25" x14ac:dyDescent="0.25">
      <c r="A110" s="311">
        <v>107</v>
      </c>
      <c r="B110" s="19" t="s">
        <v>2290</v>
      </c>
      <c r="C110" s="148" t="s">
        <v>2294</v>
      </c>
      <c r="D110" s="148" t="s">
        <v>474</v>
      </c>
      <c r="E110" s="148"/>
      <c r="F110" s="153" t="s">
        <v>2295</v>
      </c>
      <c r="G110" s="269"/>
      <c r="H110" s="101" t="s">
        <v>273</v>
      </c>
      <c r="I110" s="148" t="s">
        <v>2296</v>
      </c>
      <c r="J110" s="10" t="s">
        <v>361</v>
      </c>
      <c r="K110" s="10"/>
      <c r="L110" s="19"/>
      <c r="M110" s="278"/>
      <c r="N110" s="249"/>
      <c r="O110" s="19" t="s">
        <v>299</v>
      </c>
      <c r="P110" s="19" t="s">
        <v>153</v>
      </c>
      <c r="Q110" s="19">
        <v>500</v>
      </c>
      <c r="R110" s="13">
        <v>500000</v>
      </c>
      <c r="S110" s="19">
        <v>425000</v>
      </c>
      <c r="T110" s="19">
        <f t="shared" si="11"/>
        <v>925000</v>
      </c>
      <c r="U110" s="266"/>
      <c r="V110" s="266"/>
      <c r="W110" s="266"/>
      <c r="X110" s="266"/>
      <c r="Y110" s="165">
        <v>0.4</v>
      </c>
      <c r="Z110" s="376">
        <f t="shared" ref="Z110:Z117" si="13">T110*Y110</f>
        <v>370000</v>
      </c>
      <c r="AA110" s="19"/>
      <c r="AB110" s="376">
        <f t="shared" si="7"/>
        <v>629000</v>
      </c>
      <c r="AC110" s="376">
        <f t="shared" si="10"/>
        <v>259000</v>
      </c>
      <c r="AD110" s="19" t="s">
        <v>1641</v>
      </c>
    </row>
    <row r="111" spans="1:31" ht="47.25" x14ac:dyDescent="0.25">
      <c r="A111" s="113">
        <v>108</v>
      </c>
      <c r="B111" s="19" t="s">
        <v>2290</v>
      </c>
      <c r="C111" s="148" t="s">
        <v>2297</v>
      </c>
      <c r="D111" s="148" t="s">
        <v>474</v>
      </c>
      <c r="E111" s="148"/>
      <c r="F111" s="153" t="s">
        <v>2299</v>
      </c>
      <c r="G111" s="269"/>
      <c r="H111" s="101" t="s">
        <v>273</v>
      </c>
      <c r="I111" s="148" t="s">
        <v>2298</v>
      </c>
      <c r="J111" s="10" t="s">
        <v>361</v>
      </c>
      <c r="K111" s="10"/>
      <c r="L111" s="19"/>
      <c r="M111" s="278"/>
      <c r="N111" s="249"/>
      <c r="O111" s="19" t="s">
        <v>299</v>
      </c>
      <c r="P111" s="19" t="s">
        <v>153</v>
      </c>
      <c r="Q111" s="19">
        <v>500</v>
      </c>
      <c r="R111" s="13">
        <v>500000</v>
      </c>
      <c r="S111" s="19">
        <v>425000</v>
      </c>
      <c r="T111" s="19">
        <f t="shared" si="11"/>
        <v>925000</v>
      </c>
      <c r="U111" s="266"/>
      <c r="V111" s="266"/>
      <c r="W111" s="266"/>
      <c r="X111" s="266"/>
      <c r="Y111" s="165">
        <v>0.4</v>
      </c>
      <c r="Z111" s="376">
        <f t="shared" si="13"/>
        <v>370000</v>
      </c>
      <c r="AA111" s="19"/>
      <c r="AB111" s="376">
        <f t="shared" si="7"/>
        <v>629000</v>
      </c>
      <c r="AC111" s="376">
        <f t="shared" si="10"/>
        <v>259000</v>
      </c>
      <c r="AD111" s="19" t="s">
        <v>1641</v>
      </c>
    </row>
    <row r="112" spans="1:31" ht="47.25" x14ac:dyDescent="0.25">
      <c r="A112" s="74">
        <v>109</v>
      </c>
      <c r="B112" s="19" t="s">
        <v>2306</v>
      </c>
      <c r="C112" s="256" t="s">
        <v>640</v>
      </c>
      <c r="D112" s="256" t="s">
        <v>1260</v>
      </c>
      <c r="E112" s="256"/>
      <c r="F112" s="29" t="s">
        <v>631</v>
      </c>
      <c r="G112" s="10"/>
      <c r="H112" s="29" t="s">
        <v>246</v>
      </c>
      <c r="I112" s="157" t="s">
        <v>642</v>
      </c>
      <c r="J112" s="10" t="s">
        <v>1261</v>
      </c>
      <c r="K112" s="10"/>
      <c r="L112" s="19"/>
      <c r="M112" s="13"/>
      <c r="N112" s="249"/>
      <c r="O112" s="19" t="s">
        <v>1484</v>
      </c>
      <c r="P112" s="19" t="s">
        <v>94</v>
      </c>
      <c r="Q112" s="19">
        <v>1000</v>
      </c>
      <c r="R112" s="13"/>
      <c r="S112" s="19">
        <v>675000</v>
      </c>
      <c r="T112" s="19">
        <f t="shared" si="11"/>
        <v>675000</v>
      </c>
      <c r="U112" s="19"/>
      <c r="V112" s="19"/>
      <c r="W112" s="19"/>
      <c r="X112" s="19"/>
      <c r="Y112" s="165">
        <v>0.4</v>
      </c>
      <c r="Z112" s="376">
        <f t="shared" si="13"/>
        <v>270000</v>
      </c>
      <c r="AA112" s="19"/>
      <c r="AB112" s="376">
        <f t="shared" si="7"/>
        <v>459000.00000000006</v>
      </c>
      <c r="AC112" s="376">
        <f t="shared" si="10"/>
        <v>189000.00000000006</v>
      </c>
      <c r="AD112" s="19" t="s">
        <v>1641</v>
      </c>
    </row>
    <row r="113" spans="1:30" ht="47.25" x14ac:dyDescent="0.25">
      <c r="A113" s="311">
        <v>110</v>
      </c>
      <c r="B113" s="19" t="s">
        <v>2322</v>
      </c>
      <c r="C113" s="148" t="s">
        <v>2323</v>
      </c>
      <c r="D113" s="148" t="s">
        <v>2324</v>
      </c>
      <c r="E113" s="148"/>
      <c r="F113" s="101" t="s">
        <v>2326</v>
      </c>
      <c r="G113" s="10"/>
      <c r="H113" s="101" t="s">
        <v>1177</v>
      </c>
      <c r="I113" s="148" t="s">
        <v>2325</v>
      </c>
      <c r="J113" s="10" t="s">
        <v>2327</v>
      </c>
      <c r="K113" s="10"/>
      <c r="L113" s="19"/>
      <c r="M113" s="13"/>
      <c r="N113" s="249"/>
      <c r="O113" s="19" t="s">
        <v>299</v>
      </c>
      <c r="P113" s="19" t="s">
        <v>153</v>
      </c>
      <c r="Q113" s="19">
        <v>500</v>
      </c>
      <c r="R113" s="13">
        <v>500000</v>
      </c>
      <c r="S113" s="19">
        <v>425000</v>
      </c>
      <c r="T113" s="19">
        <f t="shared" si="11"/>
        <v>925000</v>
      </c>
      <c r="U113" s="19"/>
      <c r="V113" s="19"/>
      <c r="W113" s="19"/>
      <c r="X113" s="19"/>
      <c r="Y113" s="165">
        <v>0.3</v>
      </c>
      <c r="Z113" s="376">
        <f t="shared" si="13"/>
        <v>277500</v>
      </c>
      <c r="AA113" s="19"/>
      <c r="AB113" s="376">
        <f t="shared" si="7"/>
        <v>629000</v>
      </c>
      <c r="AC113" s="376">
        <f t="shared" si="10"/>
        <v>351500</v>
      </c>
      <c r="AD113" s="19" t="s">
        <v>1746</v>
      </c>
    </row>
    <row r="114" spans="1:30" s="272" customFormat="1" ht="31.5" x14ac:dyDescent="0.25">
      <c r="A114" s="113">
        <v>111</v>
      </c>
      <c r="B114" s="266" t="s">
        <v>2329</v>
      </c>
      <c r="C114" s="358" t="s">
        <v>2342</v>
      </c>
      <c r="D114" s="358" t="s">
        <v>2483</v>
      </c>
      <c r="E114" s="358"/>
      <c r="F114" s="335" t="s">
        <v>2343</v>
      </c>
      <c r="G114" s="269"/>
      <c r="H114" s="335" t="s">
        <v>273</v>
      </c>
      <c r="I114" s="358" t="s">
        <v>2344</v>
      </c>
      <c r="J114" s="498" t="s">
        <v>2486</v>
      </c>
      <c r="K114" s="269"/>
      <c r="L114" s="266"/>
      <c r="M114" s="278"/>
      <c r="N114" s="439"/>
      <c r="O114" s="266" t="s">
        <v>1048</v>
      </c>
      <c r="P114" s="266" t="s">
        <v>153</v>
      </c>
      <c r="Q114" s="266">
        <v>300</v>
      </c>
      <c r="R114" s="278">
        <v>500000</v>
      </c>
      <c r="S114" s="266">
        <v>300000</v>
      </c>
      <c r="T114" s="266">
        <f t="shared" si="11"/>
        <v>800000</v>
      </c>
      <c r="U114" s="266"/>
      <c r="V114" s="266"/>
      <c r="W114" s="266"/>
      <c r="X114" s="266"/>
      <c r="Y114" s="271">
        <v>0.3</v>
      </c>
      <c r="Z114" s="605">
        <f t="shared" si="13"/>
        <v>240000</v>
      </c>
      <c r="AA114" s="266"/>
      <c r="AB114" s="605">
        <f t="shared" si="7"/>
        <v>544000</v>
      </c>
      <c r="AC114" s="605">
        <f t="shared" si="10"/>
        <v>304000</v>
      </c>
      <c r="AD114" s="266"/>
    </row>
    <row r="115" spans="1:30" ht="47.25" x14ac:dyDescent="0.25">
      <c r="A115" s="74">
        <v>112</v>
      </c>
      <c r="B115" s="19" t="s">
        <v>2329</v>
      </c>
      <c r="C115" s="148" t="s">
        <v>2345</v>
      </c>
      <c r="D115" s="148" t="s">
        <v>1686</v>
      </c>
      <c r="E115" s="148"/>
      <c r="F115" s="153" t="s">
        <v>2346</v>
      </c>
      <c r="G115" s="269"/>
      <c r="H115" s="101" t="s">
        <v>2347</v>
      </c>
      <c r="I115" s="148" t="s">
        <v>2348</v>
      </c>
      <c r="J115" s="10"/>
      <c r="K115" s="10"/>
      <c r="L115" s="19"/>
      <c r="M115" s="278"/>
      <c r="N115" s="249"/>
      <c r="O115" s="19" t="s">
        <v>299</v>
      </c>
      <c r="P115" s="19" t="s">
        <v>153</v>
      </c>
      <c r="Q115" s="19">
        <v>500</v>
      </c>
      <c r="R115" s="13">
        <v>500000</v>
      </c>
      <c r="S115" s="19">
        <v>425000</v>
      </c>
      <c r="T115" s="19">
        <f t="shared" si="11"/>
        <v>925000</v>
      </c>
      <c r="U115" s="266"/>
      <c r="V115" s="266"/>
      <c r="W115" s="266"/>
      <c r="X115" s="266"/>
      <c r="Y115" s="165">
        <v>0.47</v>
      </c>
      <c r="Z115" s="376">
        <f t="shared" si="13"/>
        <v>434750</v>
      </c>
      <c r="AA115" s="19"/>
      <c r="AB115" s="376">
        <f t="shared" si="7"/>
        <v>629000</v>
      </c>
      <c r="AC115" s="376">
        <f t="shared" si="10"/>
        <v>194250</v>
      </c>
      <c r="AD115" s="19" t="s">
        <v>3359</v>
      </c>
    </row>
    <row r="116" spans="1:30" s="272" customFormat="1" ht="47.25" x14ac:dyDescent="0.25">
      <c r="A116" s="311">
        <v>113</v>
      </c>
      <c r="B116" s="266" t="s">
        <v>2322</v>
      </c>
      <c r="C116" s="358" t="s">
        <v>2349</v>
      </c>
      <c r="D116" s="358" t="s">
        <v>2484</v>
      </c>
      <c r="E116" s="358"/>
      <c r="F116" s="449" t="s">
        <v>2350</v>
      </c>
      <c r="G116" s="269"/>
      <c r="H116" s="335" t="s">
        <v>327</v>
      </c>
      <c r="I116" s="358" t="s">
        <v>2351</v>
      </c>
      <c r="J116" s="269" t="s">
        <v>2485</v>
      </c>
      <c r="K116" s="269"/>
      <c r="L116" s="266"/>
      <c r="M116" s="278"/>
      <c r="N116" s="439"/>
      <c r="O116" s="266" t="s">
        <v>1048</v>
      </c>
      <c r="P116" s="266" t="s">
        <v>153</v>
      </c>
      <c r="Q116" s="266">
        <v>300</v>
      </c>
      <c r="R116" s="278">
        <v>500000</v>
      </c>
      <c r="S116" s="266">
        <v>300000</v>
      </c>
      <c r="T116" s="266">
        <f t="shared" si="11"/>
        <v>800000</v>
      </c>
      <c r="U116" s="266"/>
      <c r="V116" s="266"/>
      <c r="W116" s="266"/>
      <c r="X116" s="266"/>
      <c r="Y116" s="271">
        <v>0.35</v>
      </c>
      <c r="Z116" s="605">
        <f t="shared" si="13"/>
        <v>280000</v>
      </c>
      <c r="AA116" s="266"/>
      <c r="AB116" s="605">
        <f t="shared" si="7"/>
        <v>544000</v>
      </c>
      <c r="AC116" s="605">
        <f t="shared" si="10"/>
        <v>264000</v>
      </c>
      <c r="AD116" s="266"/>
    </row>
    <row r="117" spans="1:30" ht="47.25" x14ac:dyDescent="0.25">
      <c r="A117" s="113">
        <v>114</v>
      </c>
      <c r="B117" s="19" t="s">
        <v>2322</v>
      </c>
      <c r="C117" s="148" t="s">
        <v>2352</v>
      </c>
      <c r="D117" s="358" t="s">
        <v>2484</v>
      </c>
      <c r="E117" s="358"/>
      <c r="F117" s="153" t="s">
        <v>2353</v>
      </c>
      <c r="G117" s="10"/>
      <c r="H117" s="101" t="s">
        <v>273</v>
      </c>
      <c r="I117" s="148" t="s">
        <v>2354</v>
      </c>
      <c r="J117" s="10" t="s">
        <v>2487</v>
      </c>
      <c r="K117" s="10"/>
      <c r="L117" s="19"/>
      <c r="M117" s="13"/>
      <c r="N117" s="249"/>
      <c r="O117" s="19" t="s">
        <v>1048</v>
      </c>
      <c r="P117" s="19" t="s">
        <v>153</v>
      </c>
      <c r="Q117" s="19">
        <v>300</v>
      </c>
      <c r="R117" s="13">
        <v>500000</v>
      </c>
      <c r="S117" s="19">
        <v>300000</v>
      </c>
      <c r="T117" s="19">
        <f t="shared" si="11"/>
        <v>800000</v>
      </c>
      <c r="U117" s="19"/>
      <c r="V117" s="19"/>
      <c r="W117" s="19"/>
      <c r="X117" s="19"/>
      <c r="Y117" s="165">
        <v>0.35</v>
      </c>
      <c r="Z117" s="376">
        <f t="shared" si="13"/>
        <v>280000</v>
      </c>
      <c r="AA117" s="19"/>
      <c r="AB117" s="376">
        <f t="shared" si="7"/>
        <v>544000</v>
      </c>
      <c r="AC117" s="376">
        <f t="shared" si="10"/>
        <v>264000</v>
      </c>
      <c r="AD117" s="19" t="s">
        <v>2472</v>
      </c>
    </row>
    <row r="118" spans="1:30" ht="47.25" x14ac:dyDescent="0.25">
      <c r="A118" s="74">
        <v>115</v>
      </c>
      <c r="B118" s="19" t="s">
        <v>2307</v>
      </c>
      <c r="C118" s="148" t="s">
        <v>2355</v>
      </c>
      <c r="D118" s="148" t="s">
        <v>2488</v>
      </c>
      <c r="E118" s="148"/>
      <c r="F118" s="101" t="s">
        <v>2357</v>
      </c>
      <c r="G118" s="10"/>
      <c r="H118" s="101" t="s">
        <v>273</v>
      </c>
      <c r="I118" s="148" t="s">
        <v>2356</v>
      </c>
      <c r="J118" s="10" t="s">
        <v>2489</v>
      </c>
      <c r="K118" s="10"/>
      <c r="L118" s="19"/>
      <c r="M118" s="13"/>
      <c r="N118" s="249"/>
      <c r="O118" s="19" t="s">
        <v>1048</v>
      </c>
      <c r="P118" s="19" t="s">
        <v>153</v>
      </c>
      <c r="Q118" s="19">
        <v>300</v>
      </c>
      <c r="R118" s="13">
        <v>500000</v>
      </c>
      <c r="S118" s="19">
        <v>300000</v>
      </c>
      <c r="T118" s="19">
        <f t="shared" si="11"/>
        <v>800000</v>
      </c>
      <c r="U118" s="19"/>
      <c r="V118" s="19"/>
      <c r="W118" s="19"/>
      <c r="X118" s="19"/>
      <c r="Y118" s="165">
        <v>0.35</v>
      </c>
      <c r="Z118" s="376">
        <f t="shared" ref="Z118:Z143" si="14">T118*Y118</f>
        <v>280000</v>
      </c>
      <c r="AA118" s="19"/>
      <c r="AB118" s="376">
        <f t="shared" si="7"/>
        <v>544000</v>
      </c>
      <c r="AC118" s="376">
        <f t="shared" si="10"/>
        <v>264000</v>
      </c>
      <c r="AD118" s="19"/>
    </row>
    <row r="119" spans="1:30" ht="47.25" x14ac:dyDescent="0.25">
      <c r="A119" s="311">
        <v>116</v>
      </c>
      <c r="B119" s="19" t="s">
        <v>2307</v>
      </c>
      <c r="C119" s="148" t="s">
        <v>2358</v>
      </c>
      <c r="D119" s="148" t="s">
        <v>2488</v>
      </c>
      <c r="E119" s="148"/>
      <c r="F119" s="153" t="s">
        <v>2360</v>
      </c>
      <c r="G119" s="10"/>
      <c r="H119" s="101" t="s">
        <v>1256</v>
      </c>
      <c r="I119" s="148" t="s">
        <v>2359</v>
      </c>
      <c r="J119" s="10" t="s">
        <v>2489</v>
      </c>
      <c r="K119" s="10"/>
      <c r="L119" s="19"/>
      <c r="M119" s="13"/>
      <c r="N119" s="249"/>
      <c r="O119" s="19" t="s">
        <v>1048</v>
      </c>
      <c r="P119" s="19" t="s">
        <v>153</v>
      </c>
      <c r="Q119" s="19">
        <v>300</v>
      </c>
      <c r="R119" s="13">
        <v>500000</v>
      </c>
      <c r="S119" s="19">
        <v>300000</v>
      </c>
      <c r="T119" s="19">
        <f t="shared" si="11"/>
        <v>800000</v>
      </c>
      <c r="U119" s="19"/>
      <c r="V119" s="19"/>
      <c r="W119" s="19"/>
      <c r="X119" s="19"/>
      <c r="Y119" s="165">
        <v>0.35</v>
      </c>
      <c r="Z119" s="376">
        <f t="shared" si="14"/>
        <v>280000</v>
      </c>
      <c r="AA119" s="19"/>
      <c r="AB119" s="376">
        <f t="shared" si="7"/>
        <v>544000</v>
      </c>
      <c r="AC119" s="376">
        <f t="shared" si="10"/>
        <v>264000</v>
      </c>
      <c r="AD119" s="19"/>
    </row>
    <row r="120" spans="1:30" ht="47.25" x14ac:dyDescent="0.25">
      <c r="A120" s="113">
        <v>117</v>
      </c>
      <c r="B120" s="19" t="s">
        <v>2307</v>
      </c>
      <c r="C120" s="148" t="s">
        <v>2361</v>
      </c>
      <c r="D120" s="148" t="s">
        <v>2488</v>
      </c>
      <c r="E120" s="148"/>
      <c r="F120" s="101" t="s">
        <v>2360</v>
      </c>
      <c r="G120" s="10"/>
      <c r="H120" s="101" t="s">
        <v>273</v>
      </c>
      <c r="I120" s="148" t="s">
        <v>2362</v>
      </c>
      <c r="J120" s="10" t="s">
        <v>2489</v>
      </c>
      <c r="K120" s="10"/>
      <c r="L120" s="19"/>
      <c r="M120" s="13"/>
      <c r="N120" s="249"/>
      <c r="O120" s="19" t="s">
        <v>1048</v>
      </c>
      <c r="P120" s="19" t="s">
        <v>153</v>
      </c>
      <c r="Q120" s="19">
        <v>300</v>
      </c>
      <c r="R120" s="13">
        <v>500000</v>
      </c>
      <c r="S120" s="19">
        <v>300000</v>
      </c>
      <c r="T120" s="19">
        <f t="shared" si="11"/>
        <v>800000</v>
      </c>
      <c r="U120" s="19"/>
      <c r="V120" s="19"/>
      <c r="W120" s="19"/>
      <c r="X120" s="19"/>
      <c r="Y120" s="165">
        <v>0.35</v>
      </c>
      <c r="Z120" s="376">
        <f t="shared" si="14"/>
        <v>280000</v>
      </c>
      <c r="AA120" s="19"/>
      <c r="AB120" s="376">
        <f t="shared" si="7"/>
        <v>544000</v>
      </c>
      <c r="AC120" s="376">
        <f t="shared" si="10"/>
        <v>264000</v>
      </c>
      <c r="AD120" s="19"/>
    </row>
    <row r="121" spans="1:30" s="217" customFormat="1" ht="47.25" x14ac:dyDescent="0.25">
      <c r="A121" s="74">
        <v>118</v>
      </c>
      <c r="B121" s="239">
        <v>43508</v>
      </c>
      <c r="C121" s="242" t="s">
        <v>2364</v>
      </c>
      <c r="D121" s="242" t="s">
        <v>2065</v>
      </c>
      <c r="E121" s="242"/>
      <c r="F121" s="244" t="s">
        <v>2365</v>
      </c>
      <c r="G121" s="220"/>
      <c r="H121" s="244" t="s">
        <v>273</v>
      </c>
      <c r="I121" s="242" t="s">
        <v>2366</v>
      </c>
      <c r="J121" s="220" t="s">
        <v>2367</v>
      </c>
      <c r="K121" s="220"/>
      <c r="L121" s="220"/>
      <c r="M121" s="214"/>
      <c r="N121" s="399"/>
      <c r="O121" s="220" t="s">
        <v>2368</v>
      </c>
      <c r="P121" s="220" t="s">
        <v>153</v>
      </c>
      <c r="Q121" s="220">
        <v>12000</v>
      </c>
      <c r="R121" s="214">
        <v>500000</v>
      </c>
      <c r="S121" s="220">
        <v>3600000</v>
      </c>
      <c r="T121" s="220">
        <f t="shared" si="11"/>
        <v>4100000</v>
      </c>
      <c r="U121" s="220"/>
      <c r="V121" s="220"/>
      <c r="W121" s="220"/>
      <c r="X121" s="220"/>
      <c r="Y121" s="243">
        <v>0.4</v>
      </c>
      <c r="Z121" s="376">
        <f t="shared" si="14"/>
        <v>1640000</v>
      </c>
      <c r="AA121" s="220"/>
      <c r="AB121" s="376">
        <f>T121*0.6</f>
        <v>2460000</v>
      </c>
      <c r="AC121" s="376">
        <f t="shared" si="10"/>
        <v>820000</v>
      </c>
      <c r="AD121" s="19" t="s">
        <v>1746</v>
      </c>
    </row>
    <row r="122" spans="1:30" ht="47.25" x14ac:dyDescent="0.25">
      <c r="A122" s="311">
        <v>119</v>
      </c>
      <c r="B122" s="22">
        <v>43508</v>
      </c>
      <c r="C122" s="148" t="s">
        <v>2369</v>
      </c>
      <c r="D122" s="148" t="s">
        <v>2163</v>
      </c>
      <c r="E122" s="148"/>
      <c r="F122" s="101" t="s">
        <v>2370</v>
      </c>
      <c r="G122" s="269"/>
      <c r="H122" s="101" t="s">
        <v>1177</v>
      </c>
      <c r="I122" s="148" t="s">
        <v>2371</v>
      </c>
      <c r="J122" s="10" t="s">
        <v>2398</v>
      </c>
      <c r="K122" s="10"/>
      <c r="L122" s="19"/>
      <c r="M122" s="278"/>
      <c r="N122" s="249"/>
      <c r="O122" s="19" t="s">
        <v>1048</v>
      </c>
      <c r="P122" s="19" t="s">
        <v>153</v>
      </c>
      <c r="Q122" s="19">
        <v>300</v>
      </c>
      <c r="R122" s="13">
        <v>500000</v>
      </c>
      <c r="S122" s="19">
        <v>300000</v>
      </c>
      <c r="T122" s="19">
        <f t="shared" si="11"/>
        <v>800000</v>
      </c>
      <c r="U122" s="266"/>
      <c r="V122" s="266"/>
      <c r="W122" s="266"/>
      <c r="X122" s="266"/>
      <c r="Y122" s="165">
        <v>0.4</v>
      </c>
      <c r="Z122" s="376">
        <f t="shared" si="14"/>
        <v>320000</v>
      </c>
      <c r="AA122" s="19"/>
      <c r="AB122" s="376">
        <f t="shared" ref="AB122:AB185" si="15">T122*0.6</f>
        <v>480000</v>
      </c>
      <c r="AC122" s="376">
        <f t="shared" si="10"/>
        <v>160000</v>
      </c>
      <c r="AD122" s="19" t="s">
        <v>1746</v>
      </c>
    </row>
    <row r="123" spans="1:30" ht="47.25" x14ac:dyDescent="0.25">
      <c r="A123" s="113">
        <v>120</v>
      </c>
      <c r="B123" s="22">
        <v>43508</v>
      </c>
      <c r="C123" s="148" t="s">
        <v>2384</v>
      </c>
      <c r="D123" s="148" t="s">
        <v>2484</v>
      </c>
      <c r="E123" s="148"/>
      <c r="F123" s="101" t="s">
        <v>2385</v>
      </c>
      <c r="G123" s="10"/>
      <c r="H123" s="244" t="s">
        <v>273</v>
      </c>
      <c r="I123" s="148" t="s">
        <v>2386</v>
      </c>
      <c r="J123" s="10" t="s">
        <v>2490</v>
      </c>
      <c r="K123" s="10"/>
      <c r="L123" s="19" t="s">
        <v>2387</v>
      </c>
      <c r="M123" s="13"/>
      <c r="N123" s="249"/>
      <c r="O123" s="19" t="s">
        <v>1048</v>
      </c>
      <c r="P123" s="19" t="s">
        <v>153</v>
      </c>
      <c r="Q123" s="19">
        <v>300</v>
      </c>
      <c r="R123" s="13">
        <v>500000</v>
      </c>
      <c r="S123" s="19">
        <v>300000</v>
      </c>
      <c r="T123" s="19">
        <f t="shared" si="11"/>
        <v>800000</v>
      </c>
      <c r="U123" s="19"/>
      <c r="V123" s="19"/>
      <c r="W123" s="19"/>
      <c r="X123" s="19"/>
      <c r="Y123" s="165">
        <v>0.4</v>
      </c>
      <c r="Z123" s="376">
        <f t="shared" si="14"/>
        <v>320000</v>
      </c>
      <c r="AA123" s="19"/>
      <c r="AB123" s="376">
        <f t="shared" si="15"/>
        <v>480000</v>
      </c>
      <c r="AC123" s="376">
        <f t="shared" si="10"/>
        <v>160000</v>
      </c>
      <c r="AD123" s="19" t="s">
        <v>1746</v>
      </c>
    </row>
    <row r="124" spans="1:30" ht="47.25" x14ac:dyDescent="0.25">
      <c r="A124" s="74">
        <v>121</v>
      </c>
      <c r="B124" s="22">
        <v>43508</v>
      </c>
      <c r="C124" s="148" t="s">
        <v>2388</v>
      </c>
      <c r="D124" s="148" t="s">
        <v>2491</v>
      </c>
      <c r="E124" s="148"/>
      <c r="F124" s="101" t="s">
        <v>2389</v>
      </c>
      <c r="G124" s="10"/>
      <c r="H124" s="101" t="s">
        <v>448</v>
      </c>
      <c r="I124" s="148" t="s">
        <v>2390</v>
      </c>
      <c r="J124" s="10" t="s">
        <v>2492</v>
      </c>
      <c r="K124" s="10"/>
      <c r="L124" s="19" t="s">
        <v>2391</v>
      </c>
      <c r="M124" s="13"/>
      <c r="N124" s="249"/>
      <c r="O124" s="19" t="s">
        <v>1048</v>
      </c>
      <c r="P124" s="19" t="s">
        <v>153</v>
      </c>
      <c r="Q124" s="19">
        <v>300</v>
      </c>
      <c r="R124" s="13">
        <v>500000</v>
      </c>
      <c r="S124" s="19">
        <v>300000</v>
      </c>
      <c r="T124" s="19">
        <f t="shared" si="11"/>
        <v>800000</v>
      </c>
      <c r="U124" s="19"/>
      <c r="V124" s="19"/>
      <c r="W124" s="19"/>
      <c r="X124" s="19"/>
      <c r="Y124" s="165">
        <v>0.4</v>
      </c>
      <c r="Z124" s="376">
        <f t="shared" si="14"/>
        <v>320000</v>
      </c>
      <c r="AA124" s="19"/>
      <c r="AB124" s="376">
        <f t="shared" si="15"/>
        <v>480000</v>
      </c>
      <c r="AC124" s="376">
        <f t="shared" si="10"/>
        <v>160000</v>
      </c>
      <c r="AD124" s="19" t="s">
        <v>1746</v>
      </c>
    </row>
    <row r="125" spans="1:30" ht="47.25" x14ac:dyDescent="0.25">
      <c r="A125" s="311">
        <v>122</v>
      </c>
      <c r="B125" s="22">
        <v>43536</v>
      </c>
      <c r="C125" s="148" t="s">
        <v>2407</v>
      </c>
      <c r="D125" s="148"/>
      <c r="E125" s="148"/>
      <c r="F125" s="101" t="s">
        <v>2406</v>
      </c>
      <c r="G125" s="10"/>
      <c r="H125" s="101" t="s">
        <v>2409</v>
      </c>
      <c r="I125" s="148" t="s">
        <v>2408</v>
      </c>
      <c r="J125" s="10" t="s">
        <v>2411</v>
      </c>
      <c r="K125" s="310" t="s">
        <v>2410</v>
      </c>
      <c r="L125" s="19"/>
      <c r="M125" s="13"/>
      <c r="N125" s="249"/>
      <c r="O125" s="19" t="s">
        <v>1048</v>
      </c>
      <c r="P125" s="19" t="s">
        <v>153</v>
      </c>
      <c r="Q125" s="19">
        <v>300</v>
      </c>
      <c r="R125" s="13">
        <v>500000</v>
      </c>
      <c r="S125" s="19">
        <v>300000</v>
      </c>
      <c r="T125" s="19">
        <f t="shared" si="11"/>
        <v>800000</v>
      </c>
      <c r="U125" s="19"/>
      <c r="V125" s="19"/>
      <c r="W125" s="19"/>
      <c r="X125" s="19"/>
      <c r="Y125" s="165"/>
      <c r="Z125" s="376">
        <f t="shared" si="14"/>
        <v>0</v>
      </c>
      <c r="AA125" s="19"/>
      <c r="AB125" s="376">
        <f t="shared" si="15"/>
        <v>480000</v>
      </c>
      <c r="AC125" s="376">
        <f t="shared" si="10"/>
        <v>480000</v>
      </c>
      <c r="AD125" s="19" t="s">
        <v>1746</v>
      </c>
    </row>
    <row r="126" spans="1:30" ht="47.25" x14ac:dyDescent="0.25">
      <c r="A126" s="113">
        <v>123</v>
      </c>
      <c r="B126" s="22">
        <v>43536</v>
      </c>
      <c r="C126" s="148" t="s">
        <v>2412</v>
      </c>
      <c r="D126" s="148"/>
      <c r="E126" s="148"/>
      <c r="F126" s="153" t="s">
        <v>2414</v>
      </c>
      <c r="G126" s="10"/>
      <c r="H126" s="101" t="s">
        <v>1117</v>
      </c>
      <c r="I126" s="148" t="s">
        <v>2413</v>
      </c>
      <c r="J126" s="10" t="s">
        <v>2416</v>
      </c>
      <c r="K126" s="310" t="s">
        <v>2415</v>
      </c>
      <c r="L126" s="19"/>
      <c r="M126" s="13"/>
      <c r="N126" s="249"/>
      <c r="O126" s="19" t="s">
        <v>1048</v>
      </c>
      <c r="P126" s="19" t="s">
        <v>153</v>
      </c>
      <c r="Q126" s="19">
        <v>300</v>
      </c>
      <c r="R126" s="13">
        <v>500000</v>
      </c>
      <c r="S126" s="19">
        <v>300000</v>
      </c>
      <c r="T126" s="19">
        <f t="shared" si="11"/>
        <v>800000</v>
      </c>
      <c r="U126" s="19"/>
      <c r="V126" s="19"/>
      <c r="W126" s="19"/>
      <c r="X126" s="19"/>
      <c r="Y126" s="165"/>
      <c r="Z126" s="376">
        <f t="shared" si="14"/>
        <v>0</v>
      </c>
      <c r="AA126" s="19"/>
      <c r="AB126" s="376">
        <f t="shared" si="15"/>
        <v>480000</v>
      </c>
      <c r="AC126" s="376">
        <f t="shared" si="10"/>
        <v>480000</v>
      </c>
      <c r="AD126" s="19" t="s">
        <v>1746</v>
      </c>
    </row>
    <row r="127" spans="1:30" s="272" customFormat="1" ht="47.25" x14ac:dyDescent="0.25">
      <c r="A127" s="74">
        <v>124</v>
      </c>
      <c r="B127" s="373">
        <v>43567</v>
      </c>
      <c r="C127" s="358" t="s">
        <v>2493</v>
      </c>
      <c r="D127" s="358" t="s">
        <v>2484</v>
      </c>
      <c r="E127" s="358"/>
      <c r="F127" s="449" t="s">
        <v>2419</v>
      </c>
      <c r="G127" s="269"/>
      <c r="H127" s="335" t="s">
        <v>273</v>
      </c>
      <c r="I127" s="358" t="s">
        <v>2420</v>
      </c>
      <c r="J127" s="269" t="s">
        <v>2494</v>
      </c>
      <c r="K127" s="380" t="s">
        <v>2421</v>
      </c>
      <c r="L127" s="266"/>
      <c r="M127" s="278"/>
      <c r="N127" s="439"/>
      <c r="O127" s="266" t="s">
        <v>1048</v>
      </c>
      <c r="P127" s="266" t="s">
        <v>153</v>
      </c>
      <c r="Q127" s="266">
        <v>300</v>
      </c>
      <c r="R127" s="278">
        <v>500000</v>
      </c>
      <c r="S127" s="266">
        <v>300000</v>
      </c>
      <c r="T127" s="266">
        <f t="shared" si="11"/>
        <v>800000</v>
      </c>
      <c r="U127" s="266"/>
      <c r="V127" s="266"/>
      <c r="W127" s="266"/>
      <c r="X127" s="266"/>
      <c r="Y127" s="271">
        <v>0.4</v>
      </c>
      <c r="Z127" s="605">
        <f t="shared" si="14"/>
        <v>320000</v>
      </c>
      <c r="AA127" s="266"/>
      <c r="AB127" s="605">
        <f t="shared" si="15"/>
        <v>480000</v>
      </c>
      <c r="AC127" s="605">
        <f t="shared" si="10"/>
        <v>160000</v>
      </c>
      <c r="AD127" s="266"/>
    </row>
    <row r="128" spans="1:30" s="272" customFormat="1" ht="47.25" x14ac:dyDescent="0.25">
      <c r="A128" s="311">
        <v>125</v>
      </c>
      <c r="B128" s="373">
        <v>43597</v>
      </c>
      <c r="C128" s="358" t="s">
        <v>706</v>
      </c>
      <c r="D128" s="358" t="s">
        <v>954</v>
      </c>
      <c r="E128" s="358"/>
      <c r="F128" s="335" t="s">
        <v>2434</v>
      </c>
      <c r="G128" s="269"/>
      <c r="H128" s="335" t="s">
        <v>322</v>
      </c>
      <c r="I128" s="358" t="s">
        <v>2435</v>
      </c>
      <c r="J128" s="269" t="s">
        <v>2436</v>
      </c>
      <c r="K128" s="380"/>
      <c r="L128" s="266"/>
      <c r="M128" s="278"/>
      <c r="N128" s="439"/>
      <c r="O128" s="266" t="s">
        <v>1048</v>
      </c>
      <c r="P128" s="266" t="s">
        <v>153</v>
      </c>
      <c r="Q128" s="266">
        <v>300</v>
      </c>
      <c r="R128" s="278">
        <v>500000</v>
      </c>
      <c r="S128" s="266">
        <v>300000</v>
      </c>
      <c r="T128" s="266">
        <f t="shared" si="11"/>
        <v>800000</v>
      </c>
      <c r="U128" s="266"/>
      <c r="V128" s="266"/>
      <c r="W128" s="266"/>
      <c r="X128" s="266"/>
      <c r="Y128" s="271">
        <v>0.4</v>
      </c>
      <c r="Z128" s="605">
        <f t="shared" si="14"/>
        <v>320000</v>
      </c>
      <c r="AA128" s="266"/>
      <c r="AB128" s="605">
        <f t="shared" si="15"/>
        <v>480000</v>
      </c>
      <c r="AC128" s="605">
        <f t="shared" si="10"/>
        <v>160000</v>
      </c>
      <c r="AD128" s="266"/>
    </row>
    <row r="129" spans="1:30" ht="47.25" x14ac:dyDescent="0.25">
      <c r="A129" s="113">
        <v>126</v>
      </c>
      <c r="B129" s="22">
        <v>43597</v>
      </c>
      <c r="C129" s="148" t="s">
        <v>2437</v>
      </c>
      <c r="D129" s="148"/>
      <c r="E129" s="148"/>
      <c r="F129" s="153" t="s">
        <v>2438</v>
      </c>
      <c r="G129" s="10"/>
      <c r="H129" s="101" t="s">
        <v>2199</v>
      </c>
      <c r="I129" s="148" t="s">
        <v>2439</v>
      </c>
      <c r="J129" s="10" t="s">
        <v>2440</v>
      </c>
      <c r="K129" s="208" t="s">
        <v>2441</v>
      </c>
      <c r="L129" s="19"/>
      <c r="M129" s="13"/>
      <c r="N129" s="249"/>
      <c r="O129" s="19" t="s">
        <v>1048</v>
      </c>
      <c r="P129" s="19" t="s">
        <v>153</v>
      </c>
      <c r="Q129" s="19">
        <v>300</v>
      </c>
      <c r="R129" s="13">
        <v>500000</v>
      </c>
      <c r="S129" s="19">
        <v>300000</v>
      </c>
      <c r="T129" s="19">
        <f t="shared" si="11"/>
        <v>800000</v>
      </c>
      <c r="U129" s="19"/>
      <c r="V129" s="19"/>
      <c r="W129" s="19"/>
      <c r="X129" s="19"/>
      <c r="Y129" s="165">
        <v>0.4</v>
      </c>
      <c r="Z129" s="376">
        <f t="shared" si="14"/>
        <v>320000</v>
      </c>
      <c r="AA129" s="19"/>
      <c r="AB129" s="376">
        <f t="shared" si="15"/>
        <v>480000</v>
      </c>
      <c r="AC129" s="376">
        <f t="shared" si="10"/>
        <v>160000</v>
      </c>
      <c r="AD129" s="19" t="s">
        <v>1746</v>
      </c>
    </row>
    <row r="130" spans="1:30" ht="47.25" x14ac:dyDescent="0.25">
      <c r="A130" s="74">
        <v>127</v>
      </c>
      <c r="B130" s="22">
        <v>43597</v>
      </c>
      <c r="C130" s="148" t="s">
        <v>2323</v>
      </c>
      <c r="D130" s="148" t="s">
        <v>2324</v>
      </c>
      <c r="E130" s="148"/>
      <c r="F130" s="153" t="s">
        <v>2326</v>
      </c>
      <c r="G130" s="10"/>
      <c r="H130" s="101" t="s">
        <v>1177</v>
      </c>
      <c r="I130" s="148" t="s">
        <v>2325</v>
      </c>
      <c r="J130" s="10" t="s">
        <v>2327</v>
      </c>
      <c r="K130" s="10"/>
      <c r="L130" s="19"/>
      <c r="M130" s="13"/>
      <c r="N130" s="249"/>
      <c r="O130" s="19" t="s">
        <v>299</v>
      </c>
      <c r="P130" s="19" t="s">
        <v>153</v>
      </c>
      <c r="Q130" s="19">
        <v>500</v>
      </c>
      <c r="R130" s="13">
        <v>500000</v>
      </c>
      <c r="S130" s="19">
        <v>425000</v>
      </c>
      <c r="T130" s="19">
        <f t="shared" si="11"/>
        <v>925000</v>
      </c>
      <c r="U130" s="19"/>
      <c r="V130" s="19"/>
      <c r="W130" s="19"/>
      <c r="X130" s="19"/>
      <c r="Y130" s="165">
        <v>0.3</v>
      </c>
      <c r="Z130" s="376">
        <f t="shared" si="14"/>
        <v>277500</v>
      </c>
      <c r="AA130" s="19"/>
      <c r="AB130" s="376">
        <f t="shared" si="15"/>
        <v>555000</v>
      </c>
      <c r="AC130" s="376">
        <f t="shared" si="10"/>
        <v>277500</v>
      </c>
      <c r="AD130" s="19" t="s">
        <v>2442</v>
      </c>
    </row>
    <row r="131" spans="1:30" ht="47.25" x14ac:dyDescent="0.25">
      <c r="A131" s="311">
        <v>128</v>
      </c>
      <c r="B131" s="22">
        <v>43628</v>
      </c>
      <c r="C131" s="148" t="s">
        <v>2444</v>
      </c>
      <c r="D131" s="148" t="s">
        <v>350</v>
      </c>
      <c r="E131" s="575"/>
      <c r="F131" s="578" t="s">
        <v>2443</v>
      </c>
      <c r="G131" s="10"/>
      <c r="H131" s="101" t="s">
        <v>168</v>
      </c>
      <c r="I131" s="148" t="s">
        <v>2445</v>
      </c>
      <c r="J131" s="157" t="s">
        <v>2446</v>
      </c>
      <c r="K131" s="10" t="s">
        <v>1389</v>
      </c>
      <c r="L131" s="19"/>
      <c r="M131" s="13"/>
      <c r="N131" s="249"/>
      <c r="O131" s="19" t="s">
        <v>1048</v>
      </c>
      <c r="P131" s="19" t="s">
        <v>153</v>
      </c>
      <c r="Q131" s="19">
        <v>300</v>
      </c>
      <c r="R131" s="13">
        <v>500000</v>
      </c>
      <c r="S131" s="19">
        <v>300000</v>
      </c>
      <c r="T131" s="19">
        <f t="shared" si="11"/>
        <v>800000</v>
      </c>
      <c r="U131" s="19"/>
      <c r="V131" s="19"/>
      <c r="W131" s="19"/>
      <c r="X131" s="19"/>
      <c r="Y131" s="165">
        <v>0.4</v>
      </c>
      <c r="Z131" s="376">
        <f t="shared" si="14"/>
        <v>320000</v>
      </c>
      <c r="AA131" s="19"/>
      <c r="AB131" s="376">
        <f t="shared" si="15"/>
        <v>480000</v>
      </c>
      <c r="AC131" s="376">
        <f t="shared" si="10"/>
        <v>160000</v>
      </c>
      <c r="AD131" s="19" t="s">
        <v>3324</v>
      </c>
    </row>
    <row r="132" spans="1:30" ht="36" customHeight="1" x14ac:dyDescent="0.25">
      <c r="A132" s="113">
        <v>129</v>
      </c>
      <c r="B132" s="22">
        <v>43628</v>
      </c>
      <c r="C132" s="148" t="s">
        <v>2447</v>
      </c>
      <c r="D132" s="148" t="s">
        <v>2495</v>
      </c>
      <c r="E132" s="148"/>
      <c r="F132" s="101" t="s">
        <v>2448</v>
      </c>
      <c r="G132" s="10"/>
      <c r="H132" s="101" t="s">
        <v>273</v>
      </c>
      <c r="I132" s="148" t="s">
        <v>2449</v>
      </c>
      <c r="J132" s="10" t="s">
        <v>2496</v>
      </c>
      <c r="K132" s="10"/>
      <c r="L132" s="19"/>
      <c r="M132" s="13"/>
      <c r="N132" s="249"/>
      <c r="O132" s="19" t="s">
        <v>1048</v>
      </c>
      <c r="P132" s="19" t="s">
        <v>153</v>
      </c>
      <c r="Q132" s="19">
        <v>300</v>
      </c>
      <c r="R132" s="13">
        <v>500000</v>
      </c>
      <c r="S132" s="19">
        <v>300000</v>
      </c>
      <c r="T132" s="19">
        <f t="shared" si="11"/>
        <v>800000</v>
      </c>
      <c r="U132" s="19"/>
      <c r="V132" s="19"/>
      <c r="W132" s="19"/>
      <c r="X132" s="19"/>
      <c r="Y132" s="165">
        <v>0.4</v>
      </c>
      <c r="Z132" s="376">
        <f t="shared" si="14"/>
        <v>320000</v>
      </c>
      <c r="AA132" s="19"/>
      <c r="AB132" s="376">
        <f t="shared" si="15"/>
        <v>480000</v>
      </c>
      <c r="AC132" s="376">
        <f t="shared" si="10"/>
        <v>160000</v>
      </c>
      <c r="AD132" s="19" t="s">
        <v>2442</v>
      </c>
    </row>
    <row r="133" spans="1:30" s="272" customFormat="1" ht="47.25" x14ac:dyDescent="0.25">
      <c r="A133" s="74">
        <v>130</v>
      </c>
      <c r="B133" s="373">
        <v>43628</v>
      </c>
      <c r="C133" s="358" t="s">
        <v>2450</v>
      </c>
      <c r="D133" s="358" t="s">
        <v>2497</v>
      </c>
      <c r="E133" s="358"/>
      <c r="F133" s="449" t="s">
        <v>2452</v>
      </c>
      <c r="G133" s="269"/>
      <c r="H133" s="335" t="s">
        <v>273</v>
      </c>
      <c r="I133" s="358" t="s">
        <v>2453</v>
      </c>
      <c r="J133" s="269" t="s">
        <v>2498</v>
      </c>
      <c r="K133" s="269"/>
      <c r="L133" s="266"/>
      <c r="M133" s="278"/>
      <c r="N133" s="439"/>
      <c r="O133" s="266" t="s">
        <v>1048</v>
      </c>
      <c r="P133" s="266" t="s">
        <v>153</v>
      </c>
      <c r="Q133" s="266">
        <v>300</v>
      </c>
      <c r="R133" s="278">
        <v>500000</v>
      </c>
      <c r="S133" s="266">
        <v>300000</v>
      </c>
      <c r="T133" s="266">
        <f t="shared" si="11"/>
        <v>800000</v>
      </c>
      <c r="U133" s="266"/>
      <c r="V133" s="266"/>
      <c r="W133" s="266"/>
      <c r="X133" s="266"/>
      <c r="Y133" s="271">
        <v>0.4</v>
      </c>
      <c r="Z133" s="605">
        <f t="shared" si="14"/>
        <v>320000</v>
      </c>
      <c r="AA133" s="266"/>
      <c r="AB133" s="605">
        <f t="shared" si="15"/>
        <v>480000</v>
      </c>
      <c r="AC133" s="605">
        <f t="shared" si="10"/>
        <v>160000</v>
      </c>
      <c r="AD133" s="266"/>
    </row>
    <row r="134" spans="1:30" ht="31.5" x14ac:dyDescent="0.25">
      <c r="A134" s="311">
        <v>131</v>
      </c>
      <c r="B134" s="22">
        <v>43658</v>
      </c>
      <c r="C134" s="148" t="s">
        <v>2454</v>
      </c>
      <c r="D134" s="148" t="s">
        <v>2451</v>
      </c>
      <c r="E134" s="148"/>
      <c r="F134" s="153" t="s">
        <v>2455</v>
      </c>
      <c r="G134" s="10"/>
      <c r="H134" s="101" t="s">
        <v>2456</v>
      </c>
      <c r="I134" s="148"/>
      <c r="J134" s="10"/>
      <c r="K134" s="10"/>
      <c r="L134" s="19"/>
      <c r="M134" s="13"/>
      <c r="N134" s="249"/>
      <c r="O134" s="19" t="s">
        <v>299</v>
      </c>
      <c r="P134" s="19" t="s">
        <v>153</v>
      </c>
      <c r="Q134" s="19">
        <v>500</v>
      </c>
      <c r="R134" s="13">
        <v>500000</v>
      </c>
      <c r="S134" s="19">
        <v>425000</v>
      </c>
      <c r="T134" s="19">
        <f t="shared" si="11"/>
        <v>925000</v>
      </c>
      <c r="U134" s="19"/>
      <c r="V134" s="19"/>
      <c r="W134" s="19"/>
      <c r="X134" s="19"/>
      <c r="Y134" s="165">
        <v>0.4</v>
      </c>
      <c r="Z134" s="376">
        <f t="shared" si="14"/>
        <v>370000</v>
      </c>
      <c r="AA134" s="19"/>
      <c r="AB134" s="376">
        <f t="shared" si="15"/>
        <v>555000</v>
      </c>
      <c r="AC134" s="376">
        <f t="shared" si="10"/>
        <v>185000</v>
      </c>
      <c r="AD134" s="19" t="s">
        <v>1746</v>
      </c>
    </row>
    <row r="135" spans="1:30" s="36" customFormat="1" ht="31.5" x14ac:dyDescent="0.25">
      <c r="A135" s="113">
        <v>132</v>
      </c>
      <c r="B135" s="70">
        <v>43658</v>
      </c>
      <c r="C135" s="134" t="s">
        <v>2457</v>
      </c>
      <c r="D135" s="134" t="s">
        <v>1260</v>
      </c>
      <c r="E135" s="134"/>
      <c r="F135" s="487" t="s">
        <v>2458</v>
      </c>
      <c r="G135" s="78"/>
      <c r="H135" s="379" t="s">
        <v>345</v>
      </c>
      <c r="I135" s="134"/>
      <c r="J135" s="78" t="s">
        <v>1192</v>
      </c>
      <c r="K135" s="276" t="s">
        <v>633</v>
      </c>
      <c r="L135" s="18"/>
      <c r="M135" s="333"/>
      <c r="N135" s="559"/>
      <c r="O135" s="18" t="s">
        <v>1484</v>
      </c>
      <c r="P135" s="18" t="s">
        <v>94</v>
      </c>
      <c r="Q135" s="18">
        <v>1000</v>
      </c>
      <c r="R135" s="333">
        <v>500000</v>
      </c>
      <c r="S135" s="18">
        <v>675000</v>
      </c>
      <c r="T135" s="18">
        <f t="shared" si="11"/>
        <v>1175000</v>
      </c>
      <c r="U135" s="18"/>
      <c r="V135" s="18"/>
      <c r="W135" s="18"/>
      <c r="X135" s="18"/>
      <c r="Y135" s="87">
        <v>0.4</v>
      </c>
      <c r="Z135" s="414">
        <f t="shared" si="14"/>
        <v>470000</v>
      </c>
      <c r="AA135" s="18"/>
      <c r="AB135" s="414">
        <f t="shared" si="15"/>
        <v>705000</v>
      </c>
      <c r="AC135" s="414">
        <f t="shared" si="10"/>
        <v>235000</v>
      </c>
      <c r="AD135" s="18" t="s">
        <v>3246</v>
      </c>
    </row>
    <row r="136" spans="1:30" s="272" customFormat="1" ht="33.75" customHeight="1" x14ac:dyDescent="0.25">
      <c r="A136" s="74">
        <v>133</v>
      </c>
      <c r="B136" s="373">
        <v>43658</v>
      </c>
      <c r="C136" s="358" t="s">
        <v>2459</v>
      </c>
      <c r="D136" s="358" t="s">
        <v>273</v>
      </c>
      <c r="E136" s="358"/>
      <c r="F136" s="449" t="s">
        <v>2460</v>
      </c>
      <c r="G136" s="269"/>
      <c r="H136" s="358" t="s">
        <v>273</v>
      </c>
      <c r="I136" s="358"/>
      <c r="J136" s="269" t="s">
        <v>2461</v>
      </c>
      <c r="K136" s="269"/>
      <c r="L136" s="266"/>
      <c r="M136" s="278"/>
      <c r="N136" s="439"/>
      <c r="O136" s="266" t="s">
        <v>1048</v>
      </c>
      <c r="P136" s="266" t="s">
        <v>153</v>
      </c>
      <c r="Q136" s="266">
        <v>300</v>
      </c>
      <c r="R136" s="278">
        <v>500000</v>
      </c>
      <c r="S136" s="266">
        <v>300000</v>
      </c>
      <c r="T136" s="266">
        <f t="shared" si="11"/>
        <v>800000</v>
      </c>
      <c r="U136" s="266"/>
      <c r="V136" s="266"/>
      <c r="W136" s="266"/>
      <c r="X136" s="266"/>
      <c r="Y136" s="271">
        <v>0.4</v>
      </c>
      <c r="Z136" s="605">
        <f t="shared" si="14"/>
        <v>320000</v>
      </c>
      <c r="AA136" s="266"/>
      <c r="AB136" s="605">
        <f t="shared" si="15"/>
        <v>480000</v>
      </c>
      <c r="AC136" s="605">
        <f t="shared" si="10"/>
        <v>160000</v>
      </c>
      <c r="AD136" s="266"/>
    </row>
    <row r="137" spans="1:30" s="272" customFormat="1" x14ac:dyDescent="0.25">
      <c r="A137" s="311">
        <v>134</v>
      </c>
      <c r="B137" s="373">
        <v>43750</v>
      </c>
      <c r="C137" s="358" t="s">
        <v>2523</v>
      </c>
      <c r="D137" s="358" t="s">
        <v>273</v>
      </c>
      <c r="E137" s="358"/>
      <c r="F137" s="335"/>
      <c r="G137" s="269"/>
      <c r="H137" s="358" t="s">
        <v>273</v>
      </c>
      <c r="I137" s="358"/>
      <c r="K137" s="269"/>
      <c r="L137" s="266"/>
      <c r="M137" s="278"/>
      <c r="N137" s="439"/>
      <c r="O137" s="266" t="s">
        <v>1048</v>
      </c>
      <c r="P137" s="266" t="s">
        <v>153</v>
      </c>
      <c r="Q137" s="266">
        <v>300</v>
      </c>
      <c r="R137" s="278">
        <v>500000</v>
      </c>
      <c r="S137" s="266">
        <v>300000</v>
      </c>
      <c r="T137" s="266">
        <f t="shared" si="11"/>
        <v>800000</v>
      </c>
      <c r="U137" s="266"/>
      <c r="V137" s="266"/>
      <c r="W137" s="266"/>
      <c r="X137" s="266"/>
      <c r="Y137" s="271">
        <v>0.3</v>
      </c>
      <c r="Z137" s="605">
        <f t="shared" si="14"/>
        <v>240000</v>
      </c>
      <c r="AA137" s="266"/>
      <c r="AB137" s="605">
        <f t="shared" si="15"/>
        <v>480000</v>
      </c>
      <c r="AC137" s="605">
        <f t="shared" si="10"/>
        <v>240000</v>
      </c>
      <c r="AD137" s="266"/>
    </row>
    <row r="138" spans="1:30" s="320" customFormat="1" ht="31.5" x14ac:dyDescent="0.25">
      <c r="A138" s="113">
        <v>135</v>
      </c>
      <c r="B138" s="517">
        <v>43750</v>
      </c>
      <c r="C138" s="268" t="s">
        <v>2530</v>
      </c>
      <c r="D138" s="268" t="s">
        <v>273</v>
      </c>
      <c r="E138" s="268"/>
      <c r="F138" s="505" t="s">
        <v>2532</v>
      </c>
      <c r="G138" s="269"/>
      <c r="H138" s="268" t="s">
        <v>273</v>
      </c>
      <c r="I138" s="268" t="s">
        <v>2531</v>
      </c>
      <c r="J138" s="269" t="s">
        <v>3210</v>
      </c>
      <c r="K138" s="269"/>
      <c r="L138" s="269"/>
      <c r="M138" s="270"/>
      <c r="N138" s="439"/>
      <c r="O138" s="269" t="s">
        <v>1048</v>
      </c>
      <c r="P138" s="269" t="s">
        <v>153</v>
      </c>
      <c r="Q138" s="269">
        <v>300</v>
      </c>
      <c r="R138" s="270">
        <v>500000</v>
      </c>
      <c r="S138" s="269">
        <v>300000</v>
      </c>
      <c r="T138" s="269">
        <f t="shared" si="11"/>
        <v>800000</v>
      </c>
      <c r="U138" s="269"/>
      <c r="V138" s="269"/>
      <c r="W138" s="269"/>
      <c r="X138" s="269"/>
      <c r="Y138" s="516">
        <v>0.3</v>
      </c>
      <c r="Z138" s="605">
        <f t="shared" si="14"/>
        <v>240000</v>
      </c>
      <c r="AA138" s="269"/>
      <c r="AB138" s="607">
        <f t="shared" si="15"/>
        <v>480000</v>
      </c>
      <c r="AC138" s="607">
        <f t="shared" si="10"/>
        <v>240000</v>
      </c>
      <c r="AD138" s="269"/>
    </row>
    <row r="139" spans="1:30" ht="31.5" x14ac:dyDescent="0.25">
      <c r="A139" s="74">
        <v>136</v>
      </c>
      <c r="B139" s="22">
        <v>43750</v>
      </c>
      <c r="C139" s="148" t="s">
        <v>2533</v>
      </c>
      <c r="D139" s="148" t="s">
        <v>273</v>
      </c>
      <c r="E139" s="148"/>
      <c r="F139" s="101" t="s">
        <v>2534</v>
      </c>
      <c r="G139" s="10"/>
      <c r="H139" s="148" t="s">
        <v>273</v>
      </c>
      <c r="I139" s="148" t="s">
        <v>2535</v>
      </c>
      <c r="J139" s="10"/>
      <c r="K139" s="10"/>
      <c r="L139" s="19"/>
      <c r="M139" s="13"/>
      <c r="N139" s="249"/>
      <c r="O139" s="19" t="s">
        <v>1504</v>
      </c>
      <c r="P139" s="19" t="s">
        <v>153</v>
      </c>
      <c r="Q139" s="19">
        <v>2000</v>
      </c>
      <c r="R139" s="13">
        <v>500000</v>
      </c>
      <c r="S139" s="19">
        <v>1100000</v>
      </c>
      <c r="T139" s="19">
        <f t="shared" si="11"/>
        <v>1600000</v>
      </c>
      <c r="U139" s="19"/>
      <c r="V139" s="19"/>
      <c r="W139" s="19"/>
      <c r="X139" s="19"/>
      <c r="Y139" s="165">
        <v>0.3</v>
      </c>
      <c r="Z139" s="376">
        <f t="shared" si="14"/>
        <v>480000</v>
      </c>
      <c r="AA139" s="19"/>
      <c r="AB139" s="376">
        <f t="shared" si="15"/>
        <v>960000</v>
      </c>
      <c r="AC139" s="376">
        <f t="shared" si="10"/>
        <v>480000</v>
      </c>
      <c r="AD139" s="19" t="s">
        <v>1746</v>
      </c>
    </row>
    <row r="140" spans="1:30" s="272" customFormat="1" ht="47.25" x14ac:dyDescent="0.25">
      <c r="A140" s="311">
        <v>137</v>
      </c>
      <c r="B140" s="373">
        <v>43750</v>
      </c>
      <c r="C140" s="358" t="s">
        <v>2537</v>
      </c>
      <c r="D140" s="358" t="s">
        <v>273</v>
      </c>
      <c r="E140" s="358"/>
      <c r="F140" s="335" t="s">
        <v>2536</v>
      </c>
      <c r="G140" s="269"/>
      <c r="H140" s="358" t="s">
        <v>273</v>
      </c>
      <c r="I140" s="358" t="s">
        <v>2538</v>
      </c>
      <c r="J140" s="269"/>
      <c r="K140" s="269"/>
      <c r="L140" s="266"/>
      <c r="M140" s="278"/>
      <c r="N140" s="439"/>
      <c r="O140" s="266" t="s">
        <v>1048</v>
      </c>
      <c r="P140" s="266" t="s">
        <v>153</v>
      </c>
      <c r="Q140" s="266">
        <v>300</v>
      </c>
      <c r="R140" s="278">
        <v>500000</v>
      </c>
      <c r="S140" s="266">
        <v>300000</v>
      </c>
      <c r="T140" s="266">
        <f t="shared" si="11"/>
        <v>800000</v>
      </c>
      <c r="U140" s="266"/>
      <c r="V140" s="266"/>
      <c r="W140" s="266"/>
      <c r="X140" s="266"/>
      <c r="Y140" s="271">
        <v>0.3</v>
      </c>
      <c r="Z140" s="605">
        <f t="shared" si="14"/>
        <v>240000</v>
      </c>
      <c r="AA140" s="266"/>
      <c r="AB140" s="605">
        <f t="shared" si="15"/>
        <v>480000</v>
      </c>
      <c r="AC140" s="605">
        <f t="shared" si="10"/>
        <v>240000</v>
      </c>
      <c r="AD140" s="266"/>
    </row>
    <row r="141" spans="1:30" ht="47.25" x14ac:dyDescent="0.25">
      <c r="A141" s="113">
        <v>138</v>
      </c>
      <c r="B141" s="22">
        <v>43781</v>
      </c>
      <c r="C141" s="148" t="s">
        <v>2554</v>
      </c>
      <c r="D141" s="148" t="s">
        <v>2555</v>
      </c>
      <c r="E141" s="148"/>
      <c r="F141" s="153" t="s">
        <v>2553</v>
      </c>
      <c r="G141" s="10"/>
      <c r="H141" s="101" t="s">
        <v>168</v>
      </c>
      <c r="I141" s="148" t="s">
        <v>2556</v>
      </c>
      <c r="J141" s="10" t="s">
        <v>2558</v>
      </c>
      <c r="K141" s="310" t="s">
        <v>2559</v>
      </c>
      <c r="L141" s="19" t="s">
        <v>2557</v>
      </c>
      <c r="M141" s="13"/>
      <c r="N141" s="249"/>
      <c r="O141" s="19" t="s">
        <v>1855</v>
      </c>
      <c r="P141" s="19" t="s">
        <v>278</v>
      </c>
      <c r="Q141" s="19">
        <v>1000</v>
      </c>
      <c r="R141" s="13">
        <v>500000</v>
      </c>
      <c r="S141" s="19">
        <v>675000</v>
      </c>
      <c r="T141" s="19">
        <f t="shared" si="11"/>
        <v>1175000</v>
      </c>
      <c r="U141" s="19"/>
      <c r="V141" s="19"/>
      <c r="W141" s="19"/>
      <c r="X141" s="19"/>
      <c r="Y141" s="165">
        <v>0.4</v>
      </c>
      <c r="Z141" s="376">
        <f t="shared" si="14"/>
        <v>470000</v>
      </c>
      <c r="AA141" s="19"/>
      <c r="AB141" s="376">
        <f t="shared" si="15"/>
        <v>705000</v>
      </c>
      <c r="AC141" s="376">
        <f t="shared" si="10"/>
        <v>235000</v>
      </c>
      <c r="AD141" s="19" t="s">
        <v>2641</v>
      </c>
    </row>
    <row r="142" spans="1:30" ht="47.25" x14ac:dyDescent="0.25">
      <c r="A142" s="74">
        <v>139</v>
      </c>
      <c r="B142" s="22">
        <v>43781</v>
      </c>
      <c r="C142" s="148" t="s">
        <v>2560</v>
      </c>
      <c r="D142" s="148" t="s">
        <v>2497</v>
      </c>
      <c r="E142" s="148"/>
      <c r="F142" s="153" t="s">
        <v>2561</v>
      </c>
      <c r="G142" s="10"/>
      <c r="H142" s="101" t="s">
        <v>273</v>
      </c>
      <c r="I142" s="148" t="s">
        <v>2562</v>
      </c>
      <c r="J142" s="10"/>
      <c r="K142" s="10"/>
      <c r="L142" s="19"/>
      <c r="M142" s="13"/>
      <c r="N142" s="249"/>
      <c r="O142" s="19" t="s">
        <v>1048</v>
      </c>
      <c r="P142" s="19" t="s">
        <v>153</v>
      </c>
      <c r="Q142" s="19">
        <v>300</v>
      </c>
      <c r="R142" s="13">
        <v>500000</v>
      </c>
      <c r="S142" s="19">
        <v>300000</v>
      </c>
      <c r="T142" s="19">
        <f t="shared" si="11"/>
        <v>800000</v>
      </c>
      <c r="U142" s="19"/>
      <c r="V142" s="19"/>
      <c r="W142" s="19"/>
      <c r="X142" s="19"/>
      <c r="Y142" s="165">
        <v>0.3</v>
      </c>
      <c r="Z142" s="376">
        <f t="shared" si="14"/>
        <v>240000</v>
      </c>
      <c r="AA142" s="19"/>
      <c r="AB142" s="376">
        <f t="shared" si="15"/>
        <v>480000</v>
      </c>
      <c r="AC142" s="376">
        <f t="shared" si="10"/>
        <v>240000</v>
      </c>
      <c r="AD142" s="19" t="s">
        <v>1746</v>
      </c>
    </row>
    <row r="143" spans="1:30" s="272" customFormat="1" ht="47.25" x14ac:dyDescent="0.25">
      <c r="A143" s="311">
        <v>140</v>
      </c>
      <c r="B143" s="373">
        <v>43781</v>
      </c>
      <c r="C143" s="358" t="s">
        <v>2564</v>
      </c>
      <c r="D143" s="358" t="s">
        <v>2497</v>
      </c>
      <c r="E143" s="358"/>
      <c r="F143" s="449" t="s">
        <v>2563</v>
      </c>
      <c r="G143" s="269"/>
      <c r="H143" s="335" t="s">
        <v>273</v>
      </c>
      <c r="I143" s="358" t="s">
        <v>2565</v>
      </c>
      <c r="J143" s="269"/>
      <c r="K143" s="269"/>
      <c r="L143" s="266"/>
      <c r="M143" s="278"/>
      <c r="N143" s="439"/>
      <c r="O143" s="266" t="s">
        <v>1048</v>
      </c>
      <c r="P143" s="266" t="s">
        <v>153</v>
      </c>
      <c r="Q143" s="266">
        <v>300</v>
      </c>
      <c r="R143" s="278">
        <v>500000</v>
      </c>
      <c r="S143" s="266">
        <v>300000</v>
      </c>
      <c r="T143" s="266">
        <f t="shared" si="11"/>
        <v>800000</v>
      </c>
      <c r="U143" s="266"/>
      <c r="V143" s="266"/>
      <c r="W143" s="266"/>
      <c r="X143" s="266"/>
      <c r="Y143" s="271">
        <v>0.3</v>
      </c>
      <c r="Z143" s="605">
        <f t="shared" si="14"/>
        <v>240000</v>
      </c>
      <c r="AA143" s="266"/>
      <c r="AB143" s="605">
        <f t="shared" si="15"/>
        <v>480000</v>
      </c>
      <c r="AC143" s="605">
        <f t="shared" si="10"/>
        <v>240000</v>
      </c>
      <c r="AD143" s="266"/>
    </row>
    <row r="144" spans="1:30" ht="47.25" x14ac:dyDescent="0.25">
      <c r="A144" s="113">
        <v>141</v>
      </c>
      <c r="B144" s="22">
        <v>43811</v>
      </c>
      <c r="C144" s="148" t="s">
        <v>2468</v>
      </c>
      <c r="D144" s="148" t="s">
        <v>2501</v>
      </c>
      <c r="E144" s="148"/>
      <c r="F144" s="153" t="s">
        <v>2469</v>
      </c>
      <c r="G144" s="10"/>
      <c r="H144" s="101" t="s">
        <v>168</v>
      </c>
      <c r="I144" s="148" t="s">
        <v>2566</v>
      </c>
      <c r="J144" s="4" t="s">
        <v>2158</v>
      </c>
      <c r="K144" s="304" t="s">
        <v>2159</v>
      </c>
      <c r="L144" s="19"/>
      <c r="M144" s="13"/>
      <c r="N144" s="249"/>
      <c r="O144" s="19" t="s">
        <v>299</v>
      </c>
      <c r="P144" s="19" t="s">
        <v>153</v>
      </c>
      <c r="Q144" s="19">
        <v>500</v>
      </c>
      <c r="R144" s="13">
        <v>500000</v>
      </c>
      <c r="S144" s="19">
        <v>425000</v>
      </c>
      <c r="T144" s="19">
        <f t="shared" si="11"/>
        <v>925000</v>
      </c>
      <c r="U144" s="19"/>
      <c r="V144" s="19"/>
      <c r="W144" s="19"/>
      <c r="X144" s="19"/>
      <c r="Y144" s="19"/>
      <c r="Z144" s="376">
        <v>125000</v>
      </c>
      <c r="AA144" s="19"/>
      <c r="AB144" s="376">
        <f t="shared" si="15"/>
        <v>555000</v>
      </c>
      <c r="AC144" s="376">
        <f t="shared" si="10"/>
        <v>430000</v>
      </c>
      <c r="AD144" s="19" t="s">
        <v>1746</v>
      </c>
    </row>
    <row r="145" spans="1:30" ht="47.25" x14ac:dyDescent="0.25">
      <c r="A145" s="74">
        <v>142</v>
      </c>
      <c r="B145" s="22">
        <v>43811</v>
      </c>
      <c r="C145" s="148" t="s">
        <v>2567</v>
      </c>
      <c r="D145" s="148" t="s">
        <v>2501</v>
      </c>
      <c r="E145" s="148"/>
      <c r="F145" s="153" t="s">
        <v>2499</v>
      </c>
      <c r="G145" s="10"/>
      <c r="H145" s="101" t="s">
        <v>168</v>
      </c>
      <c r="I145" s="148" t="s">
        <v>2568</v>
      </c>
      <c r="J145" s="4" t="s">
        <v>2158</v>
      </c>
      <c r="K145" s="304" t="s">
        <v>2159</v>
      </c>
      <c r="L145" s="19"/>
      <c r="M145" s="13"/>
      <c r="N145" s="249"/>
      <c r="O145" s="19" t="s">
        <v>299</v>
      </c>
      <c r="P145" s="19" t="s">
        <v>153</v>
      </c>
      <c r="Q145" s="19">
        <v>500</v>
      </c>
      <c r="R145" s="13">
        <v>500000</v>
      </c>
      <c r="S145" s="19">
        <v>425000</v>
      </c>
      <c r="T145" s="19">
        <f t="shared" si="11"/>
        <v>925000</v>
      </c>
      <c r="U145" s="19"/>
      <c r="V145" s="19"/>
      <c r="W145" s="19"/>
      <c r="X145" s="19"/>
      <c r="Y145" s="19"/>
      <c r="Z145" s="376">
        <v>125000</v>
      </c>
      <c r="AA145" s="19"/>
      <c r="AB145" s="376">
        <f t="shared" si="15"/>
        <v>555000</v>
      </c>
      <c r="AC145" s="376">
        <f t="shared" si="10"/>
        <v>430000</v>
      </c>
      <c r="AD145" s="19" t="s">
        <v>1746</v>
      </c>
    </row>
    <row r="146" spans="1:30" ht="63" x14ac:dyDescent="0.25">
      <c r="A146" s="311">
        <v>143</v>
      </c>
      <c r="B146" s="22">
        <v>43811</v>
      </c>
      <c r="C146" s="148" t="s">
        <v>2569</v>
      </c>
      <c r="D146" s="148" t="s">
        <v>2497</v>
      </c>
      <c r="E146" s="148"/>
      <c r="F146" s="153" t="s">
        <v>2570</v>
      </c>
      <c r="G146" s="10"/>
      <c r="H146" s="101" t="s">
        <v>273</v>
      </c>
      <c r="I146" s="148" t="s">
        <v>2571</v>
      </c>
      <c r="J146" s="10"/>
      <c r="K146" s="10"/>
      <c r="L146" s="19"/>
      <c r="M146" s="13"/>
      <c r="N146" s="249"/>
      <c r="O146" s="19" t="s">
        <v>1048</v>
      </c>
      <c r="P146" s="19" t="s">
        <v>153</v>
      </c>
      <c r="Q146" s="19">
        <v>300</v>
      </c>
      <c r="R146" s="13">
        <v>500000</v>
      </c>
      <c r="S146" s="19">
        <v>300000</v>
      </c>
      <c r="T146" s="19">
        <f t="shared" si="11"/>
        <v>800000</v>
      </c>
      <c r="U146" s="19"/>
      <c r="V146" s="19"/>
      <c r="W146" s="19"/>
      <c r="X146" s="19"/>
      <c r="Y146" s="165">
        <v>0.3</v>
      </c>
      <c r="Z146" s="376">
        <f>T146*Y146</f>
        <v>240000</v>
      </c>
      <c r="AA146" s="19"/>
      <c r="AB146" s="376">
        <f t="shared" si="15"/>
        <v>480000</v>
      </c>
      <c r="AC146" s="376">
        <f t="shared" si="10"/>
        <v>240000</v>
      </c>
      <c r="AD146" s="19" t="s">
        <v>1746</v>
      </c>
    </row>
    <row r="147" spans="1:30" s="272" customFormat="1" ht="47.25" x14ac:dyDescent="0.25">
      <c r="A147" s="113">
        <v>144</v>
      </c>
      <c r="B147" s="266" t="s">
        <v>2582</v>
      </c>
      <c r="C147" s="358" t="s">
        <v>2583</v>
      </c>
      <c r="D147" s="358" t="s">
        <v>2585</v>
      </c>
      <c r="E147" s="576"/>
      <c r="F147" s="497" t="s">
        <v>2584</v>
      </c>
      <c r="G147" s="269"/>
      <c r="H147" s="335" t="s">
        <v>273</v>
      </c>
      <c r="I147" s="358" t="s">
        <v>2586</v>
      </c>
      <c r="J147" s="269"/>
      <c r="K147" s="269"/>
      <c r="L147" s="266"/>
      <c r="M147" s="278"/>
      <c r="N147" s="439"/>
      <c r="O147" s="266" t="s">
        <v>1048</v>
      </c>
      <c r="P147" s="266" t="s">
        <v>153</v>
      </c>
      <c r="Q147" s="266">
        <v>300</v>
      </c>
      <c r="R147" s="278">
        <v>500000</v>
      </c>
      <c r="S147" s="266">
        <v>300000</v>
      </c>
      <c r="T147" s="266">
        <f t="shared" si="11"/>
        <v>800000</v>
      </c>
      <c r="U147" s="266"/>
      <c r="V147" s="266"/>
      <c r="W147" s="266"/>
      <c r="X147" s="266"/>
      <c r="Y147" s="271">
        <v>0.3</v>
      </c>
      <c r="Z147" s="605">
        <f t="shared" ref="Z147:Z210" si="16">T147*Y147</f>
        <v>240000</v>
      </c>
      <c r="AA147" s="266"/>
      <c r="AB147" s="605">
        <f t="shared" si="15"/>
        <v>480000</v>
      </c>
      <c r="AC147" s="605">
        <f t="shared" si="10"/>
        <v>240000</v>
      </c>
      <c r="AD147" s="266"/>
    </row>
    <row r="148" spans="1:30" s="272" customFormat="1" ht="63" x14ac:dyDescent="0.25">
      <c r="A148" s="74">
        <v>145</v>
      </c>
      <c r="B148" s="266" t="s">
        <v>2582</v>
      </c>
      <c r="C148" s="358" t="s">
        <v>2587</v>
      </c>
      <c r="D148" s="358" t="s">
        <v>2497</v>
      </c>
      <c r="E148" s="358"/>
      <c r="F148" s="449" t="s">
        <v>2588</v>
      </c>
      <c r="G148" s="269"/>
      <c r="H148" s="335" t="s">
        <v>273</v>
      </c>
      <c r="I148" s="358" t="s">
        <v>2589</v>
      </c>
      <c r="J148" s="269"/>
      <c r="K148" s="269"/>
      <c r="L148" s="266"/>
      <c r="M148" s="278"/>
      <c r="N148" s="439"/>
      <c r="O148" s="266" t="s">
        <v>1048</v>
      </c>
      <c r="P148" s="266" t="s">
        <v>153</v>
      </c>
      <c r="Q148" s="266">
        <v>300</v>
      </c>
      <c r="R148" s="278">
        <v>500000</v>
      </c>
      <c r="S148" s="266">
        <v>300000</v>
      </c>
      <c r="T148" s="266">
        <f t="shared" si="11"/>
        <v>800000</v>
      </c>
      <c r="U148" s="266"/>
      <c r="V148" s="266"/>
      <c r="W148" s="266"/>
      <c r="X148" s="266"/>
      <c r="Y148" s="271">
        <v>0.3</v>
      </c>
      <c r="Z148" s="605">
        <f t="shared" si="16"/>
        <v>240000</v>
      </c>
      <c r="AA148" s="266"/>
      <c r="AB148" s="605">
        <f t="shared" si="15"/>
        <v>480000</v>
      </c>
      <c r="AC148" s="605">
        <f t="shared" si="10"/>
        <v>240000</v>
      </c>
      <c r="AD148" s="266"/>
    </row>
    <row r="149" spans="1:30" ht="47.25" x14ac:dyDescent="0.25">
      <c r="A149" s="311">
        <v>146</v>
      </c>
      <c r="B149" s="19" t="s">
        <v>2582</v>
      </c>
      <c r="C149" s="148" t="s">
        <v>2590</v>
      </c>
      <c r="D149" s="250" t="s">
        <v>1260</v>
      </c>
      <c r="E149" s="250"/>
      <c r="F149" s="153" t="s">
        <v>2591</v>
      </c>
      <c r="G149" s="269"/>
      <c r="H149" s="101" t="s">
        <v>168</v>
      </c>
      <c r="I149" s="148" t="s">
        <v>2592</v>
      </c>
      <c r="J149" s="10"/>
      <c r="K149" s="10"/>
      <c r="L149" s="19"/>
      <c r="M149" s="278"/>
      <c r="N149" s="249"/>
      <c r="O149" s="19" t="s">
        <v>1048</v>
      </c>
      <c r="P149" s="19" t="s">
        <v>153</v>
      </c>
      <c r="Q149" s="19">
        <v>300</v>
      </c>
      <c r="R149" s="13">
        <v>500000</v>
      </c>
      <c r="S149" s="19">
        <v>300000</v>
      </c>
      <c r="T149" s="19">
        <f t="shared" si="11"/>
        <v>800000</v>
      </c>
      <c r="U149" s="266"/>
      <c r="V149" s="266"/>
      <c r="W149" s="266"/>
      <c r="X149" s="266"/>
      <c r="Y149" s="165">
        <v>0.4</v>
      </c>
      <c r="Z149" s="376">
        <f t="shared" si="16"/>
        <v>320000</v>
      </c>
      <c r="AA149" s="19"/>
      <c r="AB149" s="376">
        <f t="shared" si="15"/>
        <v>480000</v>
      </c>
      <c r="AC149" s="376">
        <f t="shared" si="10"/>
        <v>160000</v>
      </c>
      <c r="AD149" s="19" t="s">
        <v>1641</v>
      </c>
    </row>
    <row r="150" spans="1:30" ht="47.25" x14ac:dyDescent="0.25">
      <c r="A150" s="113">
        <v>147</v>
      </c>
      <c r="B150" s="19" t="s">
        <v>2582</v>
      </c>
      <c r="C150" s="148" t="s">
        <v>2593</v>
      </c>
      <c r="D150" s="250" t="s">
        <v>1260</v>
      </c>
      <c r="E150" s="250"/>
      <c r="F150" s="153" t="s">
        <v>2594</v>
      </c>
      <c r="G150" s="269"/>
      <c r="H150" s="101" t="s">
        <v>168</v>
      </c>
      <c r="I150" s="148" t="s">
        <v>2595</v>
      </c>
      <c r="J150" s="10"/>
      <c r="K150" s="10"/>
      <c r="L150" s="19"/>
      <c r="M150" s="278"/>
      <c r="N150" s="249"/>
      <c r="O150" s="19" t="s">
        <v>1048</v>
      </c>
      <c r="P150" s="19" t="s">
        <v>153</v>
      </c>
      <c r="Q150" s="19">
        <v>300</v>
      </c>
      <c r="R150" s="13">
        <v>500000</v>
      </c>
      <c r="S150" s="19">
        <v>300000</v>
      </c>
      <c r="T150" s="19">
        <f t="shared" si="11"/>
        <v>800000</v>
      </c>
      <c r="U150" s="266"/>
      <c r="V150" s="266"/>
      <c r="W150" s="266"/>
      <c r="X150" s="266"/>
      <c r="Y150" s="165">
        <v>0.4</v>
      </c>
      <c r="Z150" s="376">
        <f t="shared" si="16"/>
        <v>320000</v>
      </c>
      <c r="AA150" s="19"/>
      <c r="AB150" s="376">
        <f t="shared" si="15"/>
        <v>480000</v>
      </c>
      <c r="AC150" s="376">
        <f t="shared" si="10"/>
        <v>160000</v>
      </c>
      <c r="AD150" s="19" t="s">
        <v>1641</v>
      </c>
    </row>
    <row r="151" spans="1:30" ht="47.25" x14ac:dyDescent="0.25">
      <c r="A151" s="74">
        <v>148</v>
      </c>
      <c r="B151" s="19" t="s">
        <v>2582</v>
      </c>
      <c r="C151" s="148" t="s">
        <v>2220</v>
      </c>
      <c r="D151" s="250" t="s">
        <v>1260</v>
      </c>
      <c r="E151" s="250"/>
      <c r="F151" s="153" t="s">
        <v>2221</v>
      </c>
      <c r="G151" s="269"/>
      <c r="H151" s="101" t="s">
        <v>168</v>
      </c>
      <c r="I151" s="148" t="s">
        <v>2596</v>
      </c>
      <c r="J151" s="10"/>
      <c r="K151" s="10"/>
      <c r="L151" s="19"/>
      <c r="M151" s="278"/>
      <c r="N151" s="249"/>
      <c r="O151" s="19" t="s">
        <v>1048</v>
      </c>
      <c r="P151" s="19" t="s">
        <v>153</v>
      </c>
      <c r="Q151" s="19">
        <v>300</v>
      </c>
      <c r="R151" s="13">
        <v>500000</v>
      </c>
      <c r="S151" s="19">
        <v>300000</v>
      </c>
      <c r="T151" s="19">
        <f t="shared" si="11"/>
        <v>800000</v>
      </c>
      <c r="U151" s="266"/>
      <c r="V151" s="266"/>
      <c r="W151" s="266"/>
      <c r="X151" s="266"/>
      <c r="Y151" s="165">
        <v>0.4</v>
      </c>
      <c r="Z151" s="376">
        <f t="shared" si="16"/>
        <v>320000</v>
      </c>
      <c r="AA151" s="19"/>
      <c r="AB151" s="376">
        <f t="shared" si="15"/>
        <v>480000</v>
      </c>
      <c r="AC151" s="376">
        <f t="shared" si="10"/>
        <v>160000</v>
      </c>
      <c r="AD151" s="19" t="s">
        <v>1641</v>
      </c>
    </row>
    <row r="152" spans="1:30" ht="47.25" x14ac:dyDescent="0.25">
      <c r="A152" s="311">
        <v>149</v>
      </c>
      <c r="B152" s="19" t="s">
        <v>2582</v>
      </c>
      <c r="C152" s="148" t="s">
        <v>2224</v>
      </c>
      <c r="D152" s="250" t="s">
        <v>1260</v>
      </c>
      <c r="E152" s="250"/>
      <c r="F152" s="153" t="s">
        <v>2597</v>
      </c>
      <c r="G152" s="269"/>
      <c r="H152" s="101" t="s">
        <v>168</v>
      </c>
      <c r="I152" s="148" t="s">
        <v>2598</v>
      </c>
      <c r="J152" s="10"/>
      <c r="K152" s="10"/>
      <c r="L152" s="19"/>
      <c r="M152" s="278"/>
      <c r="N152" s="249"/>
      <c r="O152" s="19" t="s">
        <v>1048</v>
      </c>
      <c r="P152" s="19" t="s">
        <v>153</v>
      </c>
      <c r="Q152" s="19">
        <v>300</v>
      </c>
      <c r="R152" s="13">
        <v>500000</v>
      </c>
      <c r="S152" s="19">
        <v>300000</v>
      </c>
      <c r="T152" s="19">
        <f t="shared" si="11"/>
        <v>800000</v>
      </c>
      <c r="U152" s="266"/>
      <c r="V152" s="266"/>
      <c r="W152" s="266"/>
      <c r="X152" s="266"/>
      <c r="Y152" s="165">
        <v>0.4</v>
      </c>
      <c r="Z152" s="376">
        <f t="shared" si="16"/>
        <v>320000</v>
      </c>
      <c r="AA152" s="19"/>
      <c r="AB152" s="376">
        <f t="shared" si="15"/>
        <v>480000</v>
      </c>
      <c r="AC152" s="376">
        <f t="shared" si="10"/>
        <v>160000</v>
      </c>
      <c r="AD152" s="19" t="s">
        <v>1641</v>
      </c>
    </row>
    <row r="153" spans="1:30" ht="47.25" x14ac:dyDescent="0.25">
      <c r="A153" s="113">
        <v>150</v>
      </c>
      <c r="B153" s="19" t="s">
        <v>2582</v>
      </c>
      <c r="C153" s="148" t="s">
        <v>2608</v>
      </c>
      <c r="F153" s="25" t="s">
        <v>2609</v>
      </c>
      <c r="G153" s="10"/>
      <c r="H153" s="101" t="s">
        <v>2610</v>
      </c>
      <c r="I153" s="148" t="s">
        <v>2611</v>
      </c>
      <c r="J153" s="468" t="s">
        <v>2607</v>
      </c>
      <c r="K153" s="10"/>
      <c r="L153" s="19"/>
      <c r="M153" s="13"/>
      <c r="N153" s="249"/>
      <c r="O153" s="19" t="s">
        <v>1855</v>
      </c>
      <c r="P153" s="19" t="s">
        <v>278</v>
      </c>
      <c r="Q153" s="19">
        <v>1000</v>
      </c>
      <c r="R153" s="13">
        <v>500000</v>
      </c>
      <c r="S153" s="19">
        <v>675000</v>
      </c>
      <c r="T153" s="19">
        <f t="shared" si="11"/>
        <v>1175000</v>
      </c>
      <c r="U153" s="19"/>
      <c r="V153" s="19"/>
      <c r="W153" s="19"/>
      <c r="X153" s="19"/>
      <c r="Y153" s="165">
        <v>0.4</v>
      </c>
      <c r="Z153" s="376">
        <f t="shared" si="16"/>
        <v>470000</v>
      </c>
      <c r="AA153" s="19"/>
      <c r="AB153" s="376">
        <f t="shared" si="15"/>
        <v>705000</v>
      </c>
      <c r="AC153" s="376">
        <f t="shared" si="10"/>
        <v>235000</v>
      </c>
      <c r="AD153" s="19" t="s">
        <v>1746</v>
      </c>
    </row>
    <row r="154" spans="1:30" s="272" customFormat="1" ht="47.25" x14ac:dyDescent="0.25">
      <c r="A154" s="74">
        <v>151</v>
      </c>
      <c r="B154" s="266" t="s">
        <v>2619</v>
      </c>
      <c r="C154" s="358" t="s">
        <v>2620</v>
      </c>
      <c r="D154" s="358" t="s">
        <v>273</v>
      </c>
      <c r="E154" s="358"/>
      <c r="F154" s="449" t="s">
        <v>2621</v>
      </c>
      <c r="G154" s="269"/>
      <c r="H154" s="358" t="s">
        <v>273</v>
      </c>
      <c r="I154" s="358" t="s">
        <v>2622</v>
      </c>
      <c r="J154" s="269"/>
      <c r="K154" s="269"/>
      <c r="L154" s="266"/>
      <c r="M154" s="278"/>
      <c r="N154" s="439"/>
      <c r="O154" s="266" t="s">
        <v>1048</v>
      </c>
      <c r="P154" s="266" t="s">
        <v>153</v>
      </c>
      <c r="Q154" s="266">
        <v>300</v>
      </c>
      <c r="R154" s="278">
        <v>500000</v>
      </c>
      <c r="S154" s="266">
        <v>300000</v>
      </c>
      <c r="T154" s="266">
        <f t="shared" si="11"/>
        <v>800000</v>
      </c>
      <c r="U154" s="266"/>
      <c r="V154" s="266"/>
      <c r="W154" s="266"/>
      <c r="X154" s="266"/>
      <c r="Y154" s="271">
        <v>0.3</v>
      </c>
      <c r="Z154" s="605">
        <f t="shared" si="16"/>
        <v>240000</v>
      </c>
      <c r="AA154" s="266"/>
      <c r="AB154" s="605">
        <f t="shared" si="15"/>
        <v>480000</v>
      </c>
      <c r="AC154" s="605">
        <f t="shared" si="10"/>
        <v>240000</v>
      </c>
      <c r="AD154" s="266"/>
    </row>
    <row r="155" spans="1:30" s="272" customFormat="1" ht="47.25" x14ac:dyDescent="0.25">
      <c r="A155" s="311">
        <v>152</v>
      </c>
      <c r="B155" s="266" t="s">
        <v>2619</v>
      </c>
      <c r="C155" s="358" t="s">
        <v>2627</v>
      </c>
      <c r="D155" s="358" t="s">
        <v>273</v>
      </c>
      <c r="E155" s="358"/>
      <c r="F155" s="335" t="s">
        <v>2628</v>
      </c>
      <c r="G155" s="269"/>
      <c r="H155" s="335" t="s">
        <v>273</v>
      </c>
      <c r="I155" s="358" t="s">
        <v>2629</v>
      </c>
      <c r="J155" s="269"/>
      <c r="K155" s="269"/>
      <c r="L155" s="266"/>
      <c r="M155" s="278"/>
      <c r="N155" s="439"/>
      <c r="O155" s="266" t="s">
        <v>1048</v>
      </c>
      <c r="P155" s="266" t="s">
        <v>153</v>
      </c>
      <c r="Q155" s="266">
        <v>300</v>
      </c>
      <c r="R155" s="278">
        <v>500000</v>
      </c>
      <c r="S155" s="266">
        <v>300000</v>
      </c>
      <c r="T155" s="266">
        <f t="shared" si="11"/>
        <v>800000</v>
      </c>
      <c r="U155" s="266"/>
      <c r="V155" s="266"/>
      <c r="W155" s="266"/>
      <c r="X155" s="266"/>
      <c r="Y155" s="271">
        <v>0.3</v>
      </c>
      <c r="Z155" s="605">
        <f t="shared" si="16"/>
        <v>240000</v>
      </c>
      <c r="AA155" s="266"/>
      <c r="AB155" s="605">
        <f t="shared" si="15"/>
        <v>480000</v>
      </c>
      <c r="AC155" s="605">
        <f t="shared" si="10"/>
        <v>240000</v>
      </c>
      <c r="AD155" s="266"/>
    </row>
    <row r="156" spans="1:30" s="272" customFormat="1" ht="47.25" x14ac:dyDescent="0.25">
      <c r="A156" s="113">
        <v>153</v>
      </c>
      <c r="B156" s="266" t="s">
        <v>2619</v>
      </c>
      <c r="C156" s="358" t="s">
        <v>2638</v>
      </c>
      <c r="D156" s="358" t="s">
        <v>273</v>
      </c>
      <c r="E156" s="358"/>
      <c r="F156" s="449" t="s">
        <v>2639</v>
      </c>
      <c r="G156" s="269"/>
      <c r="H156" s="358" t="s">
        <v>273</v>
      </c>
      <c r="I156" s="358" t="s">
        <v>2640</v>
      </c>
      <c r="J156" s="269"/>
      <c r="K156" s="269"/>
      <c r="L156" s="266"/>
      <c r="M156" s="278"/>
      <c r="N156" s="439"/>
      <c r="O156" s="266" t="s">
        <v>1855</v>
      </c>
      <c r="P156" s="266" t="s">
        <v>278</v>
      </c>
      <c r="Q156" s="266">
        <v>1000</v>
      </c>
      <c r="R156" s="278">
        <v>500000</v>
      </c>
      <c r="S156" s="266">
        <v>675000</v>
      </c>
      <c r="T156" s="266">
        <f t="shared" si="11"/>
        <v>1175000</v>
      </c>
      <c r="U156" s="266"/>
      <c r="V156" s="266"/>
      <c r="W156" s="266"/>
      <c r="X156" s="266"/>
      <c r="Y156" s="271">
        <v>0.3</v>
      </c>
      <c r="Z156" s="605">
        <f t="shared" si="16"/>
        <v>352500</v>
      </c>
      <c r="AA156" s="266"/>
      <c r="AB156" s="605">
        <f t="shared" si="15"/>
        <v>705000</v>
      </c>
      <c r="AC156" s="605">
        <f t="shared" si="10"/>
        <v>352500</v>
      </c>
      <c r="AD156" s="266"/>
    </row>
    <row r="157" spans="1:30" s="272" customFormat="1" ht="47.25" x14ac:dyDescent="0.25">
      <c r="A157" s="74">
        <v>154</v>
      </c>
      <c r="B157" s="266" t="s">
        <v>2642</v>
      </c>
      <c r="C157" s="358" t="s">
        <v>2655</v>
      </c>
      <c r="D157" s="358" t="s">
        <v>2585</v>
      </c>
      <c r="E157" s="358"/>
      <c r="F157" s="449" t="s">
        <v>2656</v>
      </c>
      <c r="G157" s="269"/>
      <c r="H157" s="358" t="s">
        <v>273</v>
      </c>
      <c r="I157" s="358" t="s">
        <v>2657</v>
      </c>
      <c r="J157" s="269"/>
      <c r="K157" s="269"/>
      <c r="L157" s="266"/>
      <c r="M157" s="278"/>
      <c r="N157" s="439"/>
      <c r="O157" s="266" t="s">
        <v>1048</v>
      </c>
      <c r="P157" s="266" t="s">
        <v>153</v>
      </c>
      <c r="Q157" s="266">
        <v>300</v>
      </c>
      <c r="R157" s="278">
        <v>500000</v>
      </c>
      <c r="S157" s="266">
        <v>300000</v>
      </c>
      <c r="T157" s="266">
        <f t="shared" si="11"/>
        <v>800000</v>
      </c>
      <c r="U157" s="266"/>
      <c r="V157" s="266"/>
      <c r="W157" s="266"/>
      <c r="X157" s="266"/>
      <c r="Y157" s="271">
        <v>0.3</v>
      </c>
      <c r="Z157" s="605">
        <f t="shared" si="16"/>
        <v>240000</v>
      </c>
      <c r="AA157" s="266"/>
      <c r="AB157" s="605">
        <f t="shared" si="15"/>
        <v>480000</v>
      </c>
      <c r="AC157" s="605">
        <f t="shared" si="10"/>
        <v>240000</v>
      </c>
      <c r="AD157" s="266"/>
    </row>
    <row r="158" spans="1:30" ht="47.25" x14ac:dyDescent="0.25">
      <c r="A158" s="311">
        <v>155</v>
      </c>
      <c r="B158" s="19" t="s">
        <v>2647</v>
      </c>
      <c r="C158" s="148" t="s">
        <v>2659</v>
      </c>
      <c r="D158" s="148" t="s">
        <v>2660</v>
      </c>
      <c r="E158" s="148"/>
      <c r="F158" s="153" t="s">
        <v>2658</v>
      </c>
      <c r="G158" s="10"/>
      <c r="H158" s="101" t="s">
        <v>168</v>
      </c>
      <c r="I158" s="148" t="s">
        <v>2661</v>
      </c>
      <c r="J158" s="10"/>
      <c r="K158" s="10"/>
      <c r="L158" s="19"/>
      <c r="M158" s="13"/>
      <c r="N158" s="249"/>
      <c r="O158" s="19" t="s">
        <v>1048</v>
      </c>
      <c r="P158" s="19" t="s">
        <v>153</v>
      </c>
      <c r="Q158" s="19">
        <v>300</v>
      </c>
      <c r="R158" s="13">
        <v>500000</v>
      </c>
      <c r="S158" s="19">
        <v>300000</v>
      </c>
      <c r="T158" s="19">
        <f t="shared" si="11"/>
        <v>800000</v>
      </c>
      <c r="U158" s="19"/>
      <c r="V158" s="19"/>
      <c r="W158" s="19"/>
      <c r="X158" s="19"/>
      <c r="Y158" s="19"/>
      <c r="Z158" s="376">
        <f t="shared" si="16"/>
        <v>0</v>
      </c>
      <c r="AA158" s="19"/>
      <c r="AB158" s="376">
        <f t="shared" si="15"/>
        <v>480000</v>
      </c>
      <c r="AC158" s="376">
        <f t="shared" si="10"/>
        <v>480000</v>
      </c>
      <c r="AD158" s="19" t="s">
        <v>1746</v>
      </c>
    </row>
    <row r="159" spans="1:30" ht="47.25" x14ac:dyDescent="0.25">
      <c r="A159" s="113">
        <v>156</v>
      </c>
      <c r="B159" s="19" t="s">
        <v>2647</v>
      </c>
      <c r="C159" s="148" t="s">
        <v>2664</v>
      </c>
      <c r="D159" s="148" t="s">
        <v>2660</v>
      </c>
      <c r="E159" s="148"/>
      <c r="F159" s="153" t="s">
        <v>2662</v>
      </c>
      <c r="G159" s="10"/>
      <c r="H159" s="101" t="s">
        <v>168</v>
      </c>
      <c r="I159" s="148" t="s">
        <v>2663</v>
      </c>
      <c r="J159" s="10"/>
      <c r="K159" s="10"/>
      <c r="L159" s="19"/>
      <c r="M159" s="13"/>
      <c r="N159" s="249"/>
      <c r="O159" s="19" t="s">
        <v>1048</v>
      </c>
      <c r="P159" s="19" t="s">
        <v>153</v>
      </c>
      <c r="Q159" s="19">
        <v>300</v>
      </c>
      <c r="R159" s="13">
        <v>500000</v>
      </c>
      <c r="S159" s="19">
        <v>300000</v>
      </c>
      <c r="T159" s="19">
        <f t="shared" si="11"/>
        <v>800000</v>
      </c>
      <c r="U159" s="19"/>
      <c r="V159" s="19"/>
      <c r="W159" s="19"/>
      <c r="X159" s="19"/>
      <c r="Y159" s="19"/>
      <c r="Z159" s="376">
        <f t="shared" si="16"/>
        <v>0</v>
      </c>
      <c r="AA159" s="19"/>
      <c r="AB159" s="376">
        <f t="shared" si="15"/>
        <v>480000</v>
      </c>
      <c r="AC159" s="376">
        <f t="shared" si="10"/>
        <v>480000</v>
      </c>
      <c r="AD159" s="19" t="s">
        <v>1746</v>
      </c>
    </row>
    <row r="160" spans="1:30" ht="47.25" x14ac:dyDescent="0.25">
      <c r="A160" s="74">
        <v>157</v>
      </c>
      <c r="B160" s="19" t="s">
        <v>2647</v>
      </c>
      <c r="C160" s="148" t="s">
        <v>2665</v>
      </c>
      <c r="D160" s="148" t="s">
        <v>1260</v>
      </c>
      <c r="E160" s="148"/>
      <c r="F160" s="101" t="s">
        <v>2666</v>
      </c>
      <c r="G160" s="269"/>
      <c r="H160" s="101" t="s">
        <v>322</v>
      </c>
      <c r="I160" s="148" t="s">
        <v>2667</v>
      </c>
      <c r="J160" s="10"/>
      <c r="K160" s="10"/>
      <c r="L160" s="19"/>
      <c r="M160" s="278"/>
      <c r="N160" s="249"/>
      <c r="O160" s="19" t="s">
        <v>1048</v>
      </c>
      <c r="P160" s="19" t="s">
        <v>153</v>
      </c>
      <c r="Q160" s="19">
        <v>300</v>
      </c>
      <c r="R160" s="13">
        <v>500000</v>
      </c>
      <c r="S160" s="19">
        <v>300000</v>
      </c>
      <c r="T160" s="19">
        <f t="shared" si="11"/>
        <v>800000</v>
      </c>
      <c r="U160" s="266"/>
      <c r="V160" s="266"/>
      <c r="W160" s="266"/>
      <c r="X160" s="266"/>
      <c r="Y160" s="165">
        <v>0.4</v>
      </c>
      <c r="Z160" s="376">
        <f t="shared" si="16"/>
        <v>320000</v>
      </c>
      <c r="AA160" s="19"/>
      <c r="AB160" s="376">
        <f t="shared" si="15"/>
        <v>480000</v>
      </c>
      <c r="AC160" s="376">
        <f t="shared" si="10"/>
        <v>160000</v>
      </c>
      <c r="AD160" s="19" t="s">
        <v>1641</v>
      </c>
    </row>
    <row r="161" spans="1:30" ht="47.25" x14ac:dyDescent="0.25">
      <c r="A161" s="311">
        <v>158</v>
      </c>
      <c r="B161" s="19" t="s">
        <v>2647</v>
      </c>
      <c r="C161" s="148" t="s">
        <v>2668</v>
      </c>
      <c r="D161" s="148" t="s">
        <v>1260</v>
      </c>
      <c r="E161" s="148"/>
      <c r="F161" s="153" t="s">
        <v>2669</v>
      </c>
      <c r="G161" s="269"/>
      <c r="H161" s="101" t="s">
        <v>322</v>
      </c>
      <c r="I161" s="148" t="s">
        <v>2670</v>
      </c>
      <c r="J161" s="10"/>
      <c r="K161" s="10"/>
      <c r="L161" s="19"/>
      <c r="M161" s="278"/>
      <c r="N161" s="249"/>
      <c r="O161" s="19" t="s">
        <v>1048</v>
      </c>
      <c r="P161" s="19" t="s">
        <v>153</v>
      </c>
      <c r="Q161" s="19">
        <v>300</v>
      </c>
      <c r="R161" s="13">
        <v>500000</v>
      </c>
      <c r="S161" s="19">
        <v>300000</v>
      </c>
      <c r="T161" s="19">
        <f t="shared" si="11"/>
        <v>800000</v>
      </c>
      <c r="U161" s="266"/>
      <c r="V161" s="266"/>
      <c r="W161" s="266"/>
      <c r="X161" s="266"/>
      <c r="Y161" s="165">
        <v>0.4</v>
      </c>
      <c r="Z161" s="376">
        <f t="shared" si="16"/>
        <v>320000</v>
      </c>
      <c r="AA161" s="19"/>
      <c r="AB161" s="376">
        <f t="shared" si="15"/>
        <v>480000</v>
      </c>
      <c r="AC161" s="376">
        <f t="shared" si="10"/>
        <v>160000</v>
      </c>
      <c r="AD161" s="19" t="s">
        <v>1641</v>
      </c>
    </row>
    <row r="162" spans="1:30" ht="31.5" x14ac:dyDescent="0.25">
      <c r="A162" s="113">
        <v>159</v>
      </c>
      <c r="B162" s="19" t="s">
        <v>2647</v>
      </c>
      <c r="C162" s="148" t="s">
        <v>2671</v>
      </c>
      <c r="D162" s="148" t="s">
        <v>1260</v>
      </c>
      <c r="E162" s="148"/>
      <c r="F162" s="101" t="s">
        <v>2672</v>
      </c>
      <c r="G162" s="269"/>
      <c r="H162" s="101" t="s">
        <v>168</v>
      </c>
      <c r="I162" s="148" t="s">
        <v>2673</v>
      </c>
      <c r="J162" s="10"/>
      <c r="K162" s="10"/>
      <c r="L162" s="19"/>
      <c r="M162" s="278"/>
      <c r="N162" s="249"/>
      <c r="O162" s="19" t="s">
        <v>1048</v>
      </c>
      <c r="P162" s="19" t="s">
        <v>153</v>
      </c>
      <c r="Q162" s="19">
        <v>300</v>
      </c>
      <c r="R162" s="13">
        <v>500000</v>
      </c>
      <c r="S162" s="19">
        <v>300000</v>
      </c>
      <c r="T162" s="19">
        <f t="shared" si="11"/>
        <v>800000</v>
      </c>
      <c r="U162" s="266"/>
      <c r="V162" s="266"/>
      <c r="W162" s="266"/>
      <c r="X162" s="266"/>
      <c r="Y162" s="165">
        <v>0.4</v>
      </c>
      <c r="Z162" s="376">
        <f t="shared" si="16"/>
        <v>320000</v>
      </c>
      <c r="AA162" s="19"/>
      <c r="AB162" s="376">
        <f t="shared" si="15"/>
        <v>480000</v>
      </c>
      <c r="AC162" s="376">
        <f t="shared" ref="AC162:AC225" si="17">AB162-Z162</f>
        <v>160000</v>
      </c>
      <c r="AD162" s="19" t="s">
        <v>1641</v>
      </c>
    </row>
    <row r="163" spans="1:30" ht="63" x14ac:dyDescent="0.25">
      <c r="A163" s="74">
        <v>160</v>
      </c>
      <c r="B163" s="19" t="s">
        <v>2647</v>
      </c>
      <c r="C163" s="148" t="s">
        <v>2674</v>
      </c>
      <c r="D163" s="148" t="s">
        <v>1260</v>
      </c>
      <c r="E163" s="148"/>
      <c r="F163" s="153" t="s">
        <v>2675</v>
      </c>
      <c r="G163" s="269"/>
      <c r="H163" s="101" t="s">
        <v>345</v>
      </c>
      <c r="I163" s="148" t="s">
        <v>2676</v>
      </c>
      <c r="J163" s="10"/>
      <c r="K163" s="10"/>
      <c r="L163" s="19"/>
      <c r="M163" s="278"/>
      <c r="N163" s="249"/>
      <c r="O163" s="19" t="s">
        <v>1048</v>
      </c>
      <c r="P163" s="19" t="s">
        <v>153</v>
      </c>
      <c r="Q163" s="19">
        <v>300</v>
      </c>
      <c r="R163" s="13">
        <v>500000</v>
      </c>
      <c r="S163" s="19">
        <v>300000</v>
      </c>
      <c r="T163" s="19">
        <f t="shared" si="11"/>
        <v>800000</v>
      </c>
      <c r="U163" s="266"/>
      <c r="V163" s="266"/>
      <c r="W163" s="266"/>
      <c r="X163" s="266"/>
      <c r="Y163" s="165">
        <v>0.4</v>
      </c>
      <c r="Z163" s="376">
        <f t="shared" si="16"/>
        <v>320000</v>
      </c>
      <c r="AA163" s="19"/>
      <c r="AB163" s="376">
        <f t="shared" si="15"/>
        <v>480000</v>
      </c>
      <c r="AC163" s="376">
        <f t="shared" si="17"/>
        <v>160000</v>
      </c>
      <c r="AD163" s="19" t="s">
        <v>1641</v>
      </c>
    </row>
    <row r="164" spans="1:30" ht="47.25" x14ac:dyDescent="0.25">
      <c r="A164" s="311">
        <v>161</v>
      </c>
      <c r="B164" s="19" t="s">
        <v>2647</v>
      </c>
      <c r="C164" s="148" t="s">
        <v>2677</v>
      </c>
      <c r="D164" s="148" t="s">
        <v>1260</v>
      </c>
      <c r="E164" s="148"/>
      <c r="F164" s="153" t="s">
        <v>2232</v>
      </c>
      <c r="G164" s="10"/>
      <c r="H164" s="101" t="s">
        <v>2678</v>
      </c>
      <c r="I164" s="148" t="s">
        <v>2679</v>
      </c>
      <c r="J164" s="10"/>
      <c r="K164" s="10"/>
      <c r="L164" s="19"/>
      <c r="M164" s="13"/>
      <c r="N164" s="249"/>
      <c r="O164" s="19" t="s">
        <v>1048</v>
      </c>
      <c r="P164" s="19" t="s">
        <v>153</v>
      </c>
      <c r="Q164" s="19">
        <v>300</v>
      </c>
      <c r="R164" s="13">
        <v>500000</v>
      </c>
      <c r="S164" s="19">
        <v>300000</v>
      </c>
      <c r="T164" s="19">
        <f t="shared" ref="T164:T188" si="18">R164+S164</f>
        <v>800000</v>
      </c>
      <c r="U164" s="19"/>
      <c r="V164" s="19"/>
      <c r="W164" s="19"/>
      <c r="X164" s="19"/>
      <c r="Y164" s="165">
        <v>0.4</v>
      </c>
      <c r="Z164" s="376">
        <f t="shared" si="16"/>
        <v>320000</v>
      </c>
      <c r="AA164" s="19"/>
      <c r="AB164" s="376">
        <f t="shared" si="15"/>
        <v>480000</v>
      </c>
      <c r="AC164" s="376">
        <f t="shared" si="17"/>
        <v>160000</v>
      </c>
      <c r="AD164" s="19" t="s">
        <v>2680</v>
      </c>
    </row>
    <row r="165" spans="1:30" s="272" customFormat="1" ht="47.25" x14ac:dyDescent="0.25">
      <c r="A165" s="113">
        <v>162</v>
      </c>
      <c r="B165" s="266" t="s">
        <v>2647</v>
      </c>
      <c r="C165" s="358" t="s">
        <v>2685</v>
      </c>
      <c r="D165" s="358" t="s">
        <v>2686</v>
      </c>
      <c r="E165" s="358"/>
      <c r="F165" s="335" t="s">
        <v>2684</v>
      </c>
      <c r="G165" s="269"/>
      <c r="H165" s="335" t="s">
        <v>273</v>
      </c>
      <c r="I165" s="358" t="s">
        <v>2687</v>
      </c>
      <c r="J165" s="269"/>
      <c r="K165" s="269"/>
      <c r="L165" s="266"/>
      <c r="M165" s="278"/>
      <c r="N165" s="439"/>
      <c r="O165" s="266" t="s">
        <v>1048</v>
      </c>
      <c r="P165" s="266" t="s">
        <v>153</v>
      </c>
      <c r="Q165" s="266">
        <v>300</v>
      </c>
      <c r="R165" s="278">
        <v>500000</v>
      </c>
      <c r="S165" s="266">
        <v>300000</v>
      </c>
      <c r="T165" s="266">
        <f t="shared" si="18"/>
        <v>800000</v>
      </c>
      <c r="U165" s="266"/>
      <c r="V165" s="266"/>
      <c r="W165" s="266"/>
      <c r="X165" s="266"/>
      <c r="Y165" s="266"/>
      <c r="Z165" s="605">
        <f t="shared" si="16"/>
        <v>0</v>
      </c>
      <c r="AA165" s="266"/>
      <c r="AB165" s="605">
        <f t="shared" si="15"/>
        <v>480000</v>
      </c>
      <c r="AC165" s="605">
        <f t="shared" si="17"/>
        <v>480000</v>
      </c>
      <c r="AD165" s="266"/>
    </row>
    <row r="166" spans="1:30" s="272" customFormat="1" ht="63" x14ac:dyDescent="0.25">
      <c r="A166" s="74">
        <v>163</v>
      </c>
      <c r="B166" s="266" t="s">
        <v>2695</v>
      </c>
      <c r="C166" s="358" t="s">
        <v>1146</v>
      </c>
      <c r="D166" s="358"/>
      <c r="E166" s="358"/>
      <c r="F166" s="449" t="s">
        <v>2699</v>
      </c>
      <c r="G166" s="269"/>
      <c r="H166" s="335" t="s">
        <v>2180</v>
      </c>
      <c r="I166" s="358" t="s">
        <v>2700</v>
      </c>
      <c r="J166" s="269"/>
      <c r="K166" s="269"/>
      <c r="L166" s="266"/>
      <c r="M166" s="278"/>
      <c r="N166" s="439"/>
      <c r="O166" s="266" t="s">
        <v>1484</v>
      </c>
      <c r="P166" s="266" t="s">
        <v>94</v>
      </c>
      <c r="Q166" s="266">
        <v>1000</v>
      </c>
      <c r="R166" s="278"/>
      <c r="S166" s="266">
        <v>675000</v>
      </c>
      <c r="T166" s="266">
        <f t="shared" si="18"/>
        <v>675000</v>
      </c>
      <c r="U166" s="266"/>
      <c r="V166" s="266"/>
      <c r="W166" s="266"/>
      <c r="X166" s="266"/>
      <c r="Y166" s="266"/>
      <c r="Z166" s="605">
        <f t="shared" si="16"/>
        <v>0</v>
      </c>
      <c r="AA166" s="266"/>
      <c r="AB166" s="605">
        <f t="shared" si="15"/>
        <v>405000</v>
      </c>
      <c r="AC166" s="605">
        <f t="shared" si="17"/>
        <v>405000</v>
      </c>
      <c r="AD166" s="266"/>
    </row>
    <row r="167" spans="1:30" s="272" customFormat="1" ht="47.25" x14ac:dyDescent="0.25">
      <c r="A167" s="311">
        <v>164</v>
      </c>
      <c r="B167" s="266" t="s">
        <v>2695</v>
      </c>
      <c r="C167" s="358" t="s">
        <v>2701</v>
      </c>
      <c r="D167" s="358" t="s">
        <v>1605</v>
      </c>
      <c r="E167" s="358"/>
      <c r="F167" s="449" t="s">
        <v>2703</v>
      </c>
      <c r="G167" s="269"/>
      <c r="H167" s="335" t="s">
        <v>1639</v>
      </c>
      <c r="I167" s="358" t="s">
        <v>2702</v>
      </c>
      <c r="J167" s="269"/>
      <c r="K167" s="269"/>
      <c r="L167" s="266"/>
      <c r="M167" s="278"/>
      <c r="N167" s="439"/>
      <c r="O167" s="266" t="s">
        <v>1048</v>
      </c>
      <c r="P167" s="266" t="s">
        <v>153</v>
      </c>
      <c r="Q167" s="266">
        <v>300</v>
      </c>
      <c r="R167" s="278">
        <v>500000</v>
      </c>
      <c r="S167" s="266">
        <v>300000</v>
      </c>
      <c r="T167" s="266">
        <f t="shared" si="18"/>
        <v>800000</v>
      </c>
      <c r="U167" s="266"/>
      <c r="V167" s="266"/>
      <c r="W167" s="266"/>
      <c r="X167" s="266"/>
      <c r="Y167" s="271">
        <v>0.4</v>
      </c>
      <c r="Z167" s="605">
        <f t="shared" si="16"/>
        <v>320000</v>
      </c>
      <c r="AA167" s="266"/>
      <c r="AB167" s="605">
        <f t="shared" si="15"/>
        <v>480000</v>
      </c>
      <c r="AC167" s="605">
        <f t="shared" si="17"/>
        <v>160000</v>
      </c>
      <c r="AD167" s="266"/>
    </row>
    <row r="168" spans="1:30" ht="47.25" x14ac:dyDescent="0.25">
      <c r="A168" s="113">
        <v>165</v>
      </c>
      <c r="B168" s="19" t="s">
        <v>2695</v>
      </c>
      <c r="C168" s="148" t="s">
        <v>2704</v>
      </c>
      <c r="D168" s="148"/>
      <c r="E168" s="148"/>
      <c r="F168" s="153" t="s">
        <v>2705</v>
      </c>
      <c r="G168" s="10"/>
      <c r="H168" s="101" t="s">
        <v>2269</v>
      </c>
      <c r="I168" s="148" t="s">
        <v>2706</v>
      </c>
      <c r="J168" s="10" t="s">
        <v>2707</v>
      </c>
      <c r="K168" s="10"/>
      <c r="L168" s="19"/>
      <c r="M168" s="13"/>
      <c r="N168" s="249"/>
      <c r="O168" s="19" t="s">
        <v>299</v>
      </c>
      <c r="P168" s="19" t="s">
        <v>153</v>
      </c>
      <c r="Q168" s="19">
        <v>500</v>
      </c>
      <c r="R168" s="13">
        <v>500000</v>
      </c>
      <c r="S168" s="19">
        <v>425000</v>
      </c>
      <c r="T168" s="19">
        <f t="shared" si="18"/>
        <v>925000</v>
      </c>
      <c r="U168" s="19"/>
      <c r="V168" s="19"/>
      <c r="W168" s="19"/>
      <c r="X168" s="19"/>
      <c r="Y168" s="165">
        <v>0.35</v>
      </c>
      <c r="Z168" s="376">
        <f t="shared" si="16"/>
        <v>323750</v>
      </c>
      <c r="AA168" s="19"/>
      <c r="AB168" s="376">
        <f t="shared" si="15"/>
        <v>555000</v>
      </c>
      <c r="AC168" s="376">
        <f t="shared" si="17"/>
        <v>231250</v>
      </c>
      <c r="AD168" s="19" t="s">
        <v>783</v>
      </c>
    </row>
    <row r="169" spans="1:30" s="272" customFormat="1" ht="63" x14ac:dyDescent="0.25">
      <c r="A169" s="74">
        <v>166</v>
      </c>
      <c r="B169" s="266" t="s">
        <v>2708</v>
      </c>
      <c r="C169" s="358" t="s">
        <v>2709</v>
      </c>
      <c r="D169" s="358" t="s">
        <v>2686</v>
      </c>
      <c r="E169" s="358"/>
      <c r="F169" s="449" t="s">
        <v>2710</v>
      </c>
      <c r="G169" s="269"/>
      <c r="H169" s="335" t="s">
        <v>273</v>
      </c>
      <c r="I169" s="358" t="s">
        <v>2711</v>
      </c>
      <c r="J169" s="269"/>
      <c r="K169" s="269"/>
      <c r="L169" s="266"/>
      <c r="M169" s="278"/>
      <c r="N169" s="439"/>
      <c r="O169" s="266" t="s">
        <v>1048</v>
      </c>
      <c r="P169" s="266" t="s">
        <v>153</v>
      </c>
      <c r="Q169" s="266">
        <v>300</v>
      </c>
      <c r="R169" s="278">
        <v>500000</v>
      </c>
      <c r="S169" s="266">
        <v>300000</v>
      </c>
      <c r="T169" s="266">
        <f t="shared" si="18"/>
        <v>800000</v>
      </c>
      <c r="U169" s="266"/>
      <c r="V169" s="266"/>
      <c r="W169" s="266"/>
      <c r="X169" s="266"/>
      <c r="Y169" s="271">
        <v>0.35</v>
      </c>
      <c r="Z169" s="605">
        <f t="shared" si="16"/>
        <v>280000</v>
      </c>
      <c r="AA169" s="266"/>
      <c r="AB169" s="605">
        <f t="shared" si="15"/>
        <v>480000</v>
      </c>
      <c r="AC169" s="605">
        <f t="shared" si="17"/>
        <v>200000</v>
      </c>
      <c r="AD169" s="266"/>
    </row>
    <row r="170" spans="1:30" s="272" customFormat="1" ht="63" x14ac:dyDescent="0.25">
      <c r="A170" s="311">
        <v>167</v>
      </c>
      <c r="B170" s="266" t="s">
        <v>2708</v>
      </c>
      <c r="C170" s="358" t="s">
        <v>2713</v>
      </c>
      <c r="D170" s="358"/>
      <c r="E170" s="358"/>
      <c r="F170" s="335" t="s">
        <v>2712</v>
      </c>
      <c r="G170" s="269"/>
      <c r="H170" s="335" t="s">
        <v>345</v>
      </c>
      <c r="I170" s="358" t="s">
        <v>2714</v>
      </c>
      <c r="J170" s="269"/>
      <c r="K170" s="269"/>
      <c r="L170" s="266"/>
      <c r="M170" s="278"/>
      <c r="N170" s="439"/>
      <c r="O170" s="266" t="s">
        <v>1048</v>
      </c>
      <c r="P170" s="266" t="s">
        <v>153</v>
      </c>
      <c r="Q170" s="266">
        <v>300</v>
      </c>
      <c r="R170" s="278">
        <v>500000</v>
      </c>
      <c r="S170" s="266">
        <v>300000</v>
      </c>
      <c r="T170" s="266">
        <f t="shared" si="18"/>
        <v>800000</v>
      </c>
      <c r="U170" s="266"/>
      <c r="V170" s="266"/>
      <c r="W170" s="266"/>
      <c r="X170" s="266"/>
      <c r="Y170" s="266"/>
      <c r="Z170" s="605">
        <f t="shared" si="16"/>
        <v>0</v>
      </c>
      <c r="AA170" s="266"/>
      <c r="AB170" s="605">
        <f t="shared" si="15"/>
        <v>480000</v>
      </c>
      <c r="AC170" s="605">
        <f t="shared" si="17"/>
        <v>480000</v>
      </c>
      <c r="AD170" s="266"/>
    </row>
    <row r="171" spans="1:30" s="272" customFormat="1" ht="47.25" x14ac:dyDescent="0.25">
      <c r="A171" s="113">
        <v>168</v>
      </c>
      <c r="B171" s="266" t="s">
        <v>2708</v>
      </c>
      <c r="C171" s="358" t="s">
        <v>2720</v>
      </c>
      <c r="D171" s="448"/>
      <c r="E171" s="448"/>
      <c r="F171" s="335" t="s">
        <v>2721</v>
      </c>
      <c r="G171" s="269"/>
      <c r="H171" s="358" t="s">
        <v>168</v>
      </c>
      <c r="I171" s="358" t="s">
        <v>2722</v>
      </c>
      <c r="J171" s="269" t="s">
        <v>2718</v>
      </c>
      <c r="K171" s="269" t="s">
        <v>2719</v>
      </c>
      <c r="L171" s="266"/>
      <c r="M171" s="278"/>
      <c r="N171" s="439"/>
      <c r="O171" s="266" t="s">
        <v>1048</v>
      </c>
      <c r="P171" s="266" t="s">
        <v>153</v>
      </c>
      <c r="Q171" s="266">
        <v>300</v>
      </c>
      <c r="R171" s="278">
        <v>500000</v>
      </c>
      <c r="S171" s="266">
        <v>300000</v>
      </c>
      <c r="T171" s="266">
        <f t="shared" si="18"/>
        <v>800000</v>
      </c>
      <c r="U171" s="266"/>
      <c r="V171" s="266"/>
      <c r="W171" s="266"/>
      <c r="X171" s="266"/>
      <c r="Y171" s="266"/>
      <c r="Z171" s="605">
        <f t="shared" si="16"/>
        <v>0</v>
      </c>
      <c r="AA171" s="266"/>
      <c r="AB171" s="605">
        <f t="shared" si="15"/>
        <v>480000</v>
      </c>
      <c r="AC171" s="605">
        <f t="shared" si="17"/>
        <v>480000</v>
      </c>
      <c r="AD171" s="266"/>
    </row>
    <row r="172" spans="1:30" s="272" customFormat="1" ht="47.25" x14ac:dyDescent="0.25">
      <c r="A172" s="74">
        <v>169</v>
      </c>
      <c r="B172" s="266" t="s">
        <v>2708</v>
      </c>
      <c r="C172" s="358" t="s">
        <v>2723</v>
      </c>
      <c r="D172" s="358" t="s">
        <v>2725</v>
      </c>
      <c r="E172" s="358"/>
      <c r="F172" s="335" t="s">
        <v>2724</v>
      </c>
      <c r="G172" s="269"/>
      <c r="H172" s="335" t="s">
        <v>273</v>
      </c>
      <c r="I172" s="358" t="s">
        <v>2726</v>
      </c>
      <c r="J172" s="269"/>
      <c r="K172" s="269"/>
      <c r="L172" s="266"/>
      <c r="M172" s="278"/>
      <c r="N172" s="439"/>
      <c r="O172" s="266" t="s">
        <v>1048</v>
      </c>
      <c r="P172" s="266" t="s">
        <v>153</v>
      </c>
      <c r="Q172" s="266">
        <v>300</v>
      </c>
      <c r="R172" s="278">
        <v>500000</v>
      </c>
      <c r="S172" s="266">
        <v>300000</v>
      </c>
      <c r="T172" s="266">
        <f t="shared" si="18"/>
        <v>800000</v>
      </c>
      <c r="U172" s="266"/>
      <c r="V172" s="266"/>
      <c r="W172" s="266"/>
      <c r="X172" s="266"/>
      <c r="Y172" s="271">
        <v>0.35</v>
      </c>
      <c r="Z172" s="605">
        <f t="shared" si="16"/>
        <v>280000</v>
      </c>
      <c r="AA172" s="266"/>
      <c r="AB172" s="605">
        <f t="shared" si="15"/>
        <v>480000</v>
      </c>
      <c r="AC172" s="605">
        <f t="shared" si="17"/>
        <v>200000</v>
      </c>
      <c r="AD172" s="266"/>
    </row>
    <row r="173" spans="1:30" s="272" customFormat="1" ht="47.25" x14ac:dyDescent="0.25">
      <c r="A173" s="311">
        <v>170</v>
      </c>
      <c r="B173" s="266" t="s">
        <v>2708</v>
      </c>
      <c r="C173" s="358" t="s">
        <v>2727</v>
      </c>
      <c r="D173" s="358" t="s">
        <v>984</v>
      </c>
      <c r="E173" s="358"/>
      <c r="F173" s="335" t="s">
        <v>2728</v>
      </c>
      <c r="G173" s="269"/>
      <c r="H173" s="335" t="s">
        <v>273</v>
      </c>
      <c r="I173" s="358" t="s">
        <v>2729</v>
      </c>
      <c r="J173" s="269"/>
      <c r="K173" s="269"/>
      <c r="L173" s="266"/>
      <c r="M173" s="278"/>
      <c r="N173" s="439"/>
      <c r="O173" s="266" t="s">
        <v>1048</v>
      </c>
      <c r="P173" s="266" t="s">
        <v>153</v>
      </c>
      <c r="Q173" s="266">
        <v>300</v>
      </c>
      <c r="R173" s="278">
        <v>500000</v>
      </c>
      <c r="S173" s="266">
        <v>300000</v>
      </c>
      <c r="T173" s="266">
        <f t="shared" si="18"/>
        <v>800000</v>
      </c>
      <c r="U173" s="266"/>
      <c r="V173" s="266"/>
      <c r="W173" s="266"/>
      <c r="X173" s="266"/>
      <c r="Y173" s="271">
        <v>0.35</v>
      </c>
      <c r="Z173" s="605">
        <f t="shared" si="16"/>
        <v>280000</v>
      </c>
      <c r="AA173" s="266"/>
      <c r="AB173" s="605">
        <f t="shared" si="15"/>
        <v>480000</v>
      </c>
      <c r="AC173" s="605">
        <f t="shared" si="17"/>
        <v>200000</v>
      </c>
      <c r="AD173" s="266"/>
    </row>
    <row r="174" spans="1:30" ht="47.25" x14ac:dyDescent="0.25">
      <c r="A174" s="113">
        <v>171</v>
      </c>
      <c r="B174" s="19" t="s">
        <v>2708</v>
      </c>
      <c r="C174" s="148" t="s">
        <v>2730</v>
      </c>
      <c r="D174" s="148" t="s">
        <v>1260</v>
      </c>
      <c r="E174" s="148"/>
      <c r="F174" s="101" t="s">
        <v>2731</v>
      </c>
      <c r="G174" s="269"/>
      <c r="H174" s="101"/>
      <c r="I174" s="148" t="s">
        <v>2732</v>
      </c>
      <c r="J174" s="10"/>
      <c r="K174" s="10"/>
      <c r="L174" s="19"/>
      <c r="M174" s="278"/>
      <c r="N174" s="249"/>
      <c r="O174" s="19" t="s">
        <v>1048</v>
      </c>
      <c r="P174" s="19" t="s">
        <v>153</v>
      </c>
      <c r="Q174" s="19">
        <v>300</v>
      </c>
      <c r="R174" s="13">
        <v>500000</v>
      </c>
      <c r="S174" s="19">
        <v>300000</v>
      </c>
      <c r="T174" s="19">
        <f t="shared" si="18"/>
        <v>800000</v>
      </c>
      <c r="U174" s="266"/>
      <c r="V174" s="266"/>
      <c r="W174" s="266"/>
      <c r="X174" s="266"/>
      <c r="Y174" s="165">
        <v>0.4</v>
      </c>
      <c r="Z174" s="376">
        <f t="shared" si="16"/>
        <v>320000</v>
      </c>
      <c r="AA174" s="19"/>
      <c r="AB174" s="376">
        <f t="shared" si="15"/>
        <v>480000</v>
      </c>
      <c r="AC174" s="376">
        <f t="shared" si="17"/>
        <v>160000</v>
      </c>
      <c r="AD174" s="19" t="s">
        <v>1641</v>
      </c>
    </row>
    <row r="175" spans="1:30" ht="63" x14ac:dyDescent="0.25">
      <c r="A175" s="74">
        <v>172</v>
      </c>
      <c r="B175" s="19" t="s">
        <v>2708</v>
      </c>
      <c r="C175" s="148" t="s">
        <v>2733</v>
      </c>
      <c r="D175" s="148" t="s">
        <v>1260</v>
      </c>
      <c r="E175" s="148"/>
      <c r="F175" s="101" t="s">
        <v>2734</v>
      </c>
      <c r="G175" s="269"/>
      <c r="H175" s="101"/>
      <c r="I175" s="148" t="s">
        <v>2735</v>
      </c>
      <c r="J175" s="10"/>
      <c r="K175" s="10"/>
      <c r="L175" s="19"/>
      <c r="M175" s="278"/>
      <c r="N175" s="249"/>
      <c r="O175" s="19" t="s">
        <v>1048</v>
      </c>
      <c r="P175" s="19" t="s">
        <v>153</v>
      </c>
      <c r="Q175" s="19">
        <v>300</v>
      </c>
      <c r="R175" s="13">
        <v>500000</v>
      </c>
      <c r="S175" s="19">
        <v>300000</v>
      </c>
      <c r="T175" s="19">
        <f t="shared" si="18"/>
        <v>800000</v>
      </c>
      <c r="U175" s="266"/>
      <c r="V175" s="266"/>
      <c r="W175" s="266"/>
      <c r="X175" s="266"/>
      <c r="Y175" s="165">
        <v>0.4</v>
      </c>
      <c r="Z175" s="376">
        <f t="shared" si="16"/>
        <v>320000</v>
      </c>
      <c r="AA175" s="19"/>
      <c r="AB175" s="376">
        <f t="shared" si="15"/>
        <v>480000</v>
      </c>
      <c r="AC175" s="376">
        <f t="shared" si="17"/>
        <v>160000</v>
      </c>
      <c r="AD175" s="19" t="s">
        <v>1641</v>
      </c>
    </row>
    <row r="176" spans="1:30" ht="47.25" x14ac:dyDescent="0.25">
      <c r="A176" s="311">
        <v>173</v>
      </c>
      <c r="B176" s="19" t="s">
        <v>2708</v>
      </c>
      <c r="C176" s="148" t="s">
        <v>2736</v>
      </c>
      <c r="D176" s="148" t="s">
        <v>2163</v>
      </c>
      <c r="E176" s="148"/>
      <c r="F176" s="101" t="s">
        <v>2737</v>
      </c>
      <c r="G176" s="10"/>
      <c r="H176" s="101"/>
      <c r="I176" s="148" t="s">
        <v>2738</v>
      </c>
      <c r="J176" s="10" t="s">
        <v>2740</v>
      </c>
      <c r="K176" s="10"/>
      <c r="L176" s="19"/>
      <c r="M176" s="13"/>
      <c r="N176" s="249"/>
      <c r="O176" s="19" t="s">
        <v>1048</v>
      </c>
      <c r="P176" s="19" t="s">
        <v>153</v>
      </c>
      <c r="Q176" s="19">
        <v>300</v>
      </c>
      <c r="R176" s="13">
        <v>500000</v>
      </c>
      <c r="S176" s="19">
        <v>300000</v>
      </c>
      <c r="T176" s="19">
        <f t="shared" si="18"/>
        <v>800000</v>
      </c>
      <c r="U176" s="19"/>
      <c r="V176" s="19"/>
      <c r="W176" s="19"/>
      <c r="X176" s="19"/>
      <c r="Y176" s="165">
        <v>0.4</v>
      </c>
      <c r="Z176" s="376">
        <f t="shared" si="16"/>
        <v>320000</v>
      </c>
      <c r="AA176" s="19"/>
      <c r="AB176" s="376">
        <f t="shared" si="15"/>
        <v>480000</v>
      </c>
      <c r="AC176" s="376">
        <f t="shared" si="17"/>
        <v>160000</v>
      </c>
      <c r="AD176" s="19" t="s">
        <v>3249</v>
      </c>
    </row>
    <row r="177" spans="1:31" ht="47.25" x14ac:dyDescent="0.25">
      <c r="A177" s="113">
        <v>174</v>
      </c>
      <c r="B177" s="19" t="s">
        <v>2708</v>
      </c>
      <c r="C177" s="148" t="s">
        <v>2741</v>
      </c>
      <c r="D177" s="148"/>
      <c r="E177" s="148"/>
      <c r="F177" s="101" t="s">
        <v>2739</v>
      </c>
      <c r="G177" s="10"/>
      <c r="H177" s="101"/>
      <c r="I177" s="148" t="s">
        <v>2743</v>
      </c>
      <c r="J177" s="10" t="s">
        <v>2742</v>
      </c>
      <c r="K177" s="10"/>
      <c r="L177" s="19"/>
      <c r="M177" s="13"/>
      <c r="N177" s="249"/>
      <c r="O177" s="19" t="s">
        <v>1048</v>
      </c>
      <c r="P177" s="19" t="s">
        <v>153</v>
      </c>
      <c r="Q177" s="19">
        <v>300</v>
      </c>
      <c r="R177" s="13">
        <v>500000</v>
      </c>
      <c r="S177" s="19">
        <v>300000</v>
      </c>
      <c r="T177" s="19">
        <f t="shared" si="18"/>
        <v>800000</v>
      </c>
      <c r="U177" s="19"/>
      <c r="V177" s="19"/>
      <c r="W177" s="19"/>
      <c r="X177" s="19"/>
      <c r="Y177" s="19"/>
      <c r="Z177" s="376">
        <f t="shared" si="16"/>
        <v>0</v>
      </c>
      <c r="AA177" s="19"/>
      <c r="AB177" s="376">
        <f t="shared" si="15"/>
        <v>480000</v>
      </c>
      <c r="AC177" s="376">
        <f t="shared" si="17"/>
        <v>480000</v>
      </c>
      <c r="AD177" s="19" t="s">
        <v>1746</v>
      </c>
    </row>
    <row r="178" spans="1:31" s="272" customFormat="1" ht="47.25" x14ac:dyDescent="0.25">
      <c r="A178" s="74">
        <v>175</v>
      </c>
      <c r="B178" s="266" t="s">
        <v>2708</v>
      </c>
      <c r="C178" s="358" t="s">
        <v>2744</v>
      </c>
      <c r="D178" s="358" t="s">
        <v>2585</v>
      </c>
      <c r="E178" s="358"/>
      <c r="F178" s="335" t="s">
        <v>2745</v>
      </c>
      <c r="G178" s="269"/>
      <c r="H178" s="335"/>
      <c r="I178" s="358" t="s">
        <v>2746</v>
      </c>
      <c r="J178" s="269"/>
      <c r="K178" s="269"/>
      <c r="L178" s="266"/>
      <c r="M178" s="278"/>
      <c r="N178" s="439"/>
      <c r="O178" s="266" t="s">
        <v>1048</v>
      </c>
      <c r="P178" s="266" t="s">
        <v>153</v>
      </c>
      <c r="Q178" s="266">
        <v>300</v>
      </c>
      <c r="R178" s="278">
        <v>500000</v>
      </c>
      <c r="S178" s="266">
        <v>300000</v>
      </c>
      <c r="T178" s="19">
        <f t="shared" si="18"/>
        <v>800000</v>
      </c>
      <c r="U178" s="266"/>
      <c r="V178" s="266"/>
      <c r="W178" s="266"/>
      <c r="X178" s="266"/>
      <c r="Y178" s="271">
        <v>0.35</v>
      </c>
      <c r="Z178" s="605">
        <f t="shared" si="16"/>
        <v>280000</v>
      </c>
      <c r="AA178" s="266"/>
      <c r="AB178" s="376">
        <f t="shared" si="15"/>
        <v>480000</v>
      </c>
      <c r="AC178" s="376">
        <f t="shared" si="17"/>
        <v>200000</v>
      </c>
      <c r="AD178" s="266"/>
    </row>
    <row r="179" spans="1:31" ht="47.25" x14ac:dyDescent="0.25">
      <c r="A179" s="311">
        <v>176</v>
      </c>
      <c r="B179" s="19" t="s">
        <v>2708</v>
      </c>
      <c r="C179" s="148" t="s">
        <v>2748</v>
      </c>
      <c r="D179" s="148" t="s">
        <v>2163</v>
      </c>
      <c r="E179" s="148"/>
      <c r="F179" s="101" t="s">
        <v>2747</v>
      </c>
      <c r="G179" s="269"/>
      <c r="H179" s="101"/>
      <c r="I179" s="148" t="s">
        <v>2749</v>
      </c>
      <c r="J179" s="10" t="s">
        <v>2740</v>
      </c>
      <c r="K179" s="10"/>
      <c r="L179" s="19"/>
      <c r="M179" s="278"/>
      <c r="N179" s="249"/>
      <c r="O179" s="19" t="s">
        <v>1048</v>
      </c>
      <c r="P179" s="19" t="s">
        <v>153</v>
      </c>
      <c r="Q179" s="19">
        <v>300</v>
      </c>
      <c r="R179" s="13">
        <v>500000</v>
      </c>
      <c r="S179" s="19">
        <v>300000</v>
      </c>
      <c r="T179" s="19">
        <f t="shared" si="18"/>
        <v>800000</v>
      </c>
      <c r="U179" s="266"/>
      <c r="V179" s="266"/>
      <c r="W179" s="266"/>
      <c r="X179" s="266"/>
      <c r="Y179" s="165">
        <v>0.4</v>
      </c>
      <c r="Z179" s="376">
        <f t="shared" si="16"/>
        <v>320000</v>
      </c>
      <c r="AA179" s="19"/>
      <c r="AB179" s="376">
        <f t="shared" si="15"/>
        <v>480000</v>
      </c>
      <c r="AC179" s="376">
        <f t="shared" si="17"/>
        <v>160000</v>
      </c>
      <c r="AD179" s="19" t="s">
        <v>3249</v>
      </c>
    </row>
    <row r="180" spans="1:31" s="272" customFormat="1" ht="47.25" x14ac:dyDescent="0.25">
      <c r="A180" s="113">
        <v>177</v>
      </c>
      <c r="B180" s="266" t="s">
        <v>2769</v>
      </c>
      <c r="C180" s="358" t="s">
        <v>2781</v>
      </c>
      <c r="D180" s="358"/>
      <c r="E180" s="358"/>
      <c r="F180" s="335" t="s">
        <v>2782</v>
      </c>
      <c r="G180" s="269"/>
      <c r="H180" s="335"/>
      <c r="I180" s="358" t="s">
        <v>2783</v>
      </c>
      <c r="J180" s="269" t="s">
        <v>2784</v>
      </c>
      <c r="K180" s="269"/>
      <c r="L180" s="266"/>
      <c r="M180" s="278"/>
      <c r="N180" s="439"/>
      <c r="O180" s="266" t="s">
        <v>1048</v>
      </c>
      <c r="P180" s="266" t="s">
        <v>153</v>
      </c>
      <c r="Q180" s="266">
        <v>300</v>
      </c>
      <c r="R180" s="278">
        <v>500000</v>
      </c>
      <c r="S180" s="266">
        <v>300000</v>
      </c>
      <c r="T180" s="266">
        <f t="shared" si="18"/>
        <v>800000</v>
      </c>
      <c r="U180" s="266"/>
      <c r="V180" s="266"/>
      <c r="W180" s="266"/>
      <c r="X180" s="266"/>
      <c r="Y180" s="266"/>
      <c r="Z180" s="605">
        <f t="shared" si="16"/>
        <v>0</v>
      </c>
      <c r="AA180" s="266"/>
      <c r="AB180" s="605">
        <f t="shared" si="15"/>
        <v>480000</v>
      </c>
      <c r="AC180" s="605">
        <f t="shared" si="17"/>
        <v>480000</v>
      </c>
      <c r="AD180" s="266"/>
    </row>
    <row r="181" spans="1:31" ht="47.25" x14ac:dyDescent="0.25">
      <c r="A181" s="74">
        <v>178</v>
      </c>
      <c r="B181" s="19" t="s">
        <v>2769</v>
      </c>
      <c r="C181" s="148" t="s">
        <v>2785</v>
      </c>
      <c r="D181" s="148" t="s">
        <v>2847</v>
      </c>
      <c r="E181" s="148"/>
      <c r="F181" s="101" t="s">
        <v>2786</v>
      </c>
      <c r="G181" s="10"/>
      <c r="H181" s="101"/>
      <c r="I181" s="148" t="s">
        <v>2787</v>
      </c>
      <c r="J181" s="10" t="s">
        <v>2788</v>
      </c>
      <c r="K181" s="10"/>
      <c r="L181" s="19"/>
      <c r="M181" s="13"/>
      <c r="N181" s="249"/>
      <c r="O181" s="19" t="s">
        <v>1048</v>
      </c>
      <c r="P181" s="19" t="s">
        <v>153</v>
      </c>
      <c r="Q181" s="19">
        <v>300</v>
      </c>
      <c r="R181" s="13">
        <v>500000</v>
      </c>
      <c r="S181" s="19">
        <v>300000</v>
      </c>
      <c r="T181" s="19">
        <f t="shared" si="18"/>
        <v>800000</v>
      </c>
      <c r="U181" s="19"/>
      <c r="V181" s="19"/>
      <c r="W181" s="19"/>
      <c r="X181" s="19"/>
      <c r="Y181" s="165">
        <v>0.35</v>
      </c>
      <c r="Z181" s="376">
        <f t="shared" si="16"/>
        <v>280000</v>
      </c>
      <c r="AA181" s="19"/>
      <c r="AB181" s="376">
        <f t="shared" si="15"/>
        <v>480000</v>
      </c>
      <c r="AC181" s="376">
        <f t="shared" si="17"/>
        <v>200000</v>
      </c>
      <c r="AD181" s="19" t="s">
        <v>647</v>
      </c>
    </row>
    <row r="182" spans="1:31" ht="47.25" x14ac:dyDescent="0.25">
      <c r="A182" s="311">
        <v>179</v>
      </c>
      <c r="B182" s="19" t="s">
        <v>2769</v>
      </c>
      <c r="C182" s="148" t="s">
        <v>2789</v>
      </c>
      <c r="D182" s="148"/>
      <c r="E182" s="148"/>
      <c r="F182" s="153" t="s">
        <v>2790</v>
      </c>
      <c r="G182" s="10"/>
      <c r="H182" s="101"/>
      <c r="I182" s="148" t="s">
        <v>2791</v>
      </c>
      <c r="J182" s="10" t="s">
        <v>2792</v>
      </c>
      <c r="K182" s="310" t="s">
        <v>2793</v>
      </c>
      <c r="L182" s="19"/>
      <c r="M182" s="13"/>
      <c r="N182" s="249"/>
      <c r="O182" s="19" t="s">
        <v>1422</v>
      </c>
      <c r="P182" s="19" t="s">
        <v>153</v>
      </c>
      <c r="Q182" s="19">
        <v>2000</v>
      </c>
      <c r="R182" s="13">
        <v>500000</v>
      </c>
      <c r="S182" s="19">
        <v>1100000</v>
      </c>
      <c r="T182" s="19">
        <f t="shared" si="18"/>
        <v>1600000</v>
      </c>
      <c r="U182" s="19"/>
      <c r="V182" s="19"/>
      <c r="W182" s="19"/>
      <c r="X182" s="19"/>
      <c r="Y182" s="19"/>
      <c r="Z182" s="376">
        <f t="shared" si="16"/>
        <v>0</v>
      </c>
      <c r="AA182" s="19"/>
      <c r="AB182" s="376">
        <f t="shared" si="15"/>
        <v>960000</v>
      </c>
      <c r="AC182" s="376">
        <f t="shared" si="17"/>
        <v>960000</v>
      </c>
      <c r="AD182" s="19" t="s">
        <v>1746</v>
      </c>
    </row>
    <row r="183" spans="1:31" ht="47.25" x14ac:dyDescent="0.25">
      <c r="A183" s="113">
        <v>180</v>
      </c>
      <c r="B183" s="19" t="s">
        <v>2769</v>
      </c>
      <c r="C183" s="148" t="s">
        <v>2802</v>
      </c>
      <c r="D183" s="148"/>
      <c r="E183" s="148"/>
      <c r="F183" s="153" t="s">
        <v>2801</v>
      </c>
      <c r="G183" s="10"/>
      <c r="H183" s="101"/>
      <c r="I183" s="148" t="s">
        <v>2803</v>
      </c>
      <c r="J183" s="10" t="s">
        <v>2804</v>
      </c>
      <c r="K183" s="310"/>
      <c r="L183" s="19"/>
      <c r="M183" s="13"/>
      <c r="N183" s="249"/>
      <c r="O183" s="19" t="s">
        <v>1048</v>
      </c>
      <c r="P183" s="19" t="s">
        <v>153</v>
      </c>
      <c r="Q183" s="19">
        <v>300</v>
      </c>
      <c r="R183" s="13">
        <v>500000</v>
      </c>
      <c r="S183" s="19">
        <v>300000</v>
      </c>
      <c r="T183" s="19">
        <f t="shared" si="18"/>
        <v>800000</v>
      </c>
      <c r="U183" s="19"/>
      <c r="V183" s="19"/>
      <c r="W183" s="19"/>
      <c r="X183" s="19"/>
      <c r="Y183" s="19"/>
      <c r="Z183" s="376">
        <f t="shared" si="16"/>
        <v>0</v>
      </c>
      <c r="AA183" s="19"/>
      <c r="AB183" s="376">
        <f t="shared" si="15"/>
        <v>480000</v>
      </c>
      <c r="AC183" s="376">
        <f t="shared" si="17"/>
        <v>480000</v>
      </c>
      <c r="AD183" s="19" t="s">
        <v>3209</v>
      </c>
    </row>
    <row r="184" spans="1:31" s="36" customFormat="1" ht="47.25" x14ac:dyDescent="0.25">
      <c r="A184" s="74">
        <v>181</v>
      </c>
      <c r="B184" s="18" t="s">
        <v>2769</v>
      </c>
      <c r="C184" s="134" t="s">
        <v>2806</v>
      </c>
      <c r="D184" s="134"/>
      <c r="E184" s="134"/>
      <c r="F184" s="379" t="s">
        <v>2805</v>
      </c>
      <c r="G184" s="78"/>
      <c r="H184" s="379"/>
      <c r="I184" s="134" t="s">
        <v>2807</v>
      </c>
      <c r="J184" s="78" t="s">
        <v>2808</v>
      </c>
      <c r="K184" s="78"/>
      <c r="L184" s="18"/>
      <c r="M184" s="333"/>
      <c r="N184" s="559"/>
      <c r="O184" s="18" t="s">
        <v>1048</v>
      </c>
      <c r="P184" s="18" t="s">
        <v>153</v>
      </c>
      <c r="Q184" s="18">
        <v>300</v>
      </c>
      <c r="R184" s="333">
        <v>500000</v>
      </c>
      <c r="S184" s="18">
        <v>300000</v>
      </c>
      <c r="T184" s="18">
        <f t="shared" si="18"/>
        <v>800000</v>
      </c>
      <c r="U184" s="18"/>
      <c r="V184" s="18"/>
      <c r="W184" s="18"/>
      <c r="X184" s="18"/>
      <c r="Y184" s="18"/>
      <c r="Z184" s="414">
        <f t="shared" si="16"/>
        <v>0</v>
      </c>
      <c r="AA184" s="18"/>
      <c r="AB184" s="414">
        <f t="shared" si="15"/>
        <v>480000</v>
      </c>
      <c r="AC184" s="414">
        <f t="shared" si="17"/>
        <v>480000</v>
      </c>
      <c r="AD184" s="18" t="s">
        <v>3209</v>
      </c>
    </row>
    <row r="185" spans="1:31" s="36" customFormat="1" ht="47.25" x14ac:dyDescent="0.25">
      <c r="A185" s="311">
        <v>182</v>
      </c>
      <c r="B185" s="18" t="s">
        <v>2769</v>
      </c>
      <c r="C185" s="134" t="s">
        <v>2812</v>
      </c>
      <c r="D185" s="134"/>
      <c r="E185" s="134"/>
      <c r="F185" s="487" t="s">
        <v>2813</v>
      </c>
      <c r="G185" s="78"/>
      <c r="H185" s="379"/>
      <c r="I185" s="134" t="s">
        <v>2814</v>
      </c>
      <c r="J185" s="78" t="s">
        <v>2815</v>
      </c>
      <c r="K185" s="78"/>
      <c r="L185" s="18"/>
      <c r="M185" s="333"/>
      <c r="N185" s="559"/>
      <c r="O185" s="18" t="s">
        <v>1855</v>
      </c>
      <c r="P185" s="18" t="s">
        <v>278</v>
      </c>
      <c r="Q185" s="18">
        <v>1000</v>
      </c>
      <c r="R185" s="333">
        <v>500000</v>
      </c>
      <c r="S185" s="18">
        <v>675000</v>
      </c>
      <c r="T185" s="18">
        <f t="shared" si="18"/>
        <v>1175000</v>
      </c>
      <c r="U185" s="18"/>
      <c r="V185" s="18"/>
      <c r="W185" s="18"/>
      <c r="X185" s="18"/>
      <c r="Y185" s="18"/>
      <c r="Z185" s="414">
        <v>175000</v>
      </c>
      <c r="AA185" s="18"/>
      <c r="AB185" s="414">
        <f t="shared" si="15"/>
        <v>705000</v>
      </c>
      <c r="AC185" s="414">
        <f t="shared" si="17"/>
        <v>530000</v>
      </c>
      <c r="AD185" s="18" t="s">
        <v>1244</v>
      </c>
      <c r="AE185" s="36" t="s">
        <v>3245</v>
      </c>
    </row>
    <row r="186" spans="1:31" ht="47.25" x14ac:dyDescent="0.25">
      <c r="A186" s="113">
        <v>183</v>
      </c>
      <c r="B186" s="19" t="s">
        <v>2769</v>
      </c>
      <c r="C186" s="148" t="s">
        <v>2816</v>
      </c>
      <c r="D186" s="148" t="s">
        <v>2163</v>
      </c>
      <c r="E186" s="148"/>
      <c r="F186" s="153" t="s">
        <v>2817</v>
      </c>
      <c r="G186" s="269"/>
      <c r="H186" s="101"/>
      <c r="I186" s="148" t="s">
        <v>2818</v>
      </c>
      <c r="J186" s="10" t="s">
        <v>2740</v>
      </c>
      <c r="K186" s="10"/>
      <c r="L186" s="19"/>
      <c r="M186" s="278"/>
      <c r="N186" s="249"/>
      <c r="O186" s="19" t="s">
        <v>1048</v>
      </c>
      <c r="P186" s="19" t="s">
        <v>153</v>
      </c>
      <c r="Q186" s="19">
        <v>300</v>
      </c>
      <c r="R186" s="13">
        <v>500000</v>
      </c>
      <c r="S186" s="19">
        <v>300000</v>
      </c>
      <c r="T186" s="19">
        <f t="shared" si="18"/>
        <v>800000</v>
      </c>
      <c r="U186" s="266"/>
      <c r="V186" s="266"/>
      <c r="W186" s="266"/>
      <c r="X186" s="266"/>
      <c r="Y186" s="165">
        <v>0.4</v>
      </c>
      <c r="Z186" s="376">
        <f t="shared" si="16"/>
        <v>320000</v>
      </c>
      <c r="AA186" s="19"/>
      <c r="AB186" s="376">
        <f t="shared" ref="AB186:AB249" si="19">T186*0.6</f>
        <v>480000</v>
      </c>
      <c r="AC186" s="376">
        <f t="shared" si="17"/>
        <v>160000</v>
      </c>
      <c r="AD186" s="19" t="s">
        <v>1746</v>
      </c>
    </row>
    <row r="187" spans="1:31" s="272" customFormat="1" ht="47.25" x14ac:dyDescent="0.25">
      <c r="A187" s="74">
        <v>184</v>
      </c>
      <c r="B187" s="266" t="s">
        <v>2769</v>
      </c>
      <c r="C187" s="358" t="s">
        <v>2819</v>
      </c>
      <c r="D187" s="358" t="s">
        <v>2820</v>
      </c>
      <c r="E187" s="358"/>
      <c r="F187" s="335" t="s">
        <v>2821</v>
      </c>
      <c r="G187" s="269"/>
      <c r="H187" s="335"/>
      <c r="I187" s="358" t="s">
        <v>2822</v>
      </c>
      <c r="J187" s="269"/>
      <c r="K187" s="269"/>
      <c r="L187" s="266"/>
      <c r="M187" s="278"/>
      <c r="N187" s="439"/>
      <c r="O187" s="266" t="s">
        <v>299</v>
      </c>
      <c r="P187" s="266" t="s">
        <v>153</v>
      </c>
      <c r="Q187" s="266">
        <v>500</v>
      </c>
      <c r="R187" s="278">
        <v>500000</v>
      </c>
      <c r="S187" s="266">
        <v>425000</v>
      </c>
      <c r="T187" s="266">
        <f t="shared" si="18"/>
        <v>925000</v>
      </c>
      <c r="U187" s="266"/>
      <c r="V187" s="266"/>
      <c r="W187" s="266"/>
      <c r="X187" s="266"/>
      <c r="Y187" s="271">
        <v>0.4</v>
      </c>
      <c r="Z187" s="605">
        <f t="shared" si="16"/>
        <v>370000</v>
      </c>
      <c r="AA187" s="266"/>
      <c r="AB187" s="605">
        <f t="shared" si="19"/>
        <v>555000</v>
      </c>
      <c r="AC187" s="605">
        <f t="shared" si="17"/>
        <v>185000</v>
      </c>
      <c r="AD187" s="266"/>
    </row>
    <row r="188" spans="1:31" s="272" customFormat="1" ht="63" x14ac:dyDescent="0.25">
      <c r="A188" s="311">
        <v>185</v>
      </c>
      <c r="B188" s="266" t="s">
        <v>2834</v>
      </c>
      <c r="C188" s="358" t="s">
        <v>2836</v>
      </c>
      <c r="D188" s="358" t="s">
        <v>2835</v>
      </c>
      <c r="E188" s="358"/>
      <c r="F188" s="449" t="s">
        <v>2837</v>
      </c>
      <c r="G188" s="269"/>
      <c r="H188" s="335"/>
      <c r="I188" s="358" t="s">
        <v>2838</v>
      </c>
      <c r="J188" s="269"/>
      <c r="K188" s="269"/>
      <c r="L188" s="266"/>
      <c r="M188" s="278"/>
      <c r="N188" s="439"/>
      <c r="O188" s="266" t="s">
        <v>1048</v>
      </c>
      <c r="P188" s="266" t="s">
        <v>153</v>
      </c>
      <c r="Q188" s="266">
        <v>300</v>
      </c>
      <c r="R188" s="278">
        <v>500000</v>
      </c>
      <c r="S188" s="266">
        <v>300000</v>
      </c>
      <c r="T188" s="266">
        <f t="shared" si="18"/>
        <v>800000</v>
      </c>
      <c r="U188" s="266"/>
      <c r="V188" s="266"/>
      <c r="W188" s="266"/>
      <c r="X188" s="266"/>
      <c r="Y188" s="266"/>
      <c r="Z188" s="605">
        <f t="shared" si="16"/>
        <v>0</v>
      </c>
      <c r="AA188" s="266"/>
      <c r="AB188" s="605">
        <f t="shared" si="19"/>
        <v>480000</v>
      </c>
      <c r="AC188" s="605">
        <f t="shared" si="17"/>
        <v>480000</v>
      </c>
      <c r="AD188" s="266"/>
    </row>
    <row r="189" spans="1:31" s="272" customFormat="1" ht="47.25" x14ac:dyDescent="0.25">
      <c r="A189" s="113">
        <v>186</v>
      </c>
      <c r="B189" s="266" t="s">
        <v>2834</v>
      </c>
      <c r="C189" s="358" t="s">
        <v>2848</v>
      </c>
      <c r="D189" s="358" t="s">
        <v>2847</v>
      </c>
      <c r="E189" s="358"/>
      <c r="F189" s="449" t="s">
        <v>2846</v>
      </c>
      <c r="G189" s="269"/>
      <c r="H189" s="335" t="s">
        <v>168</v>
      </c>
      <c r="I189" s="358" t="s">
        <v>2849</v>
      </c>
      <c r="J189" s="269"/>
      <c r="K189" s="269"/>
      <c r="L189" s="266"/>
      <c r="M189" s="278"/>
      <c r="N189" s="439"/>
      <c r="O189" s="266" t="s">
        <v>1048</v>
      </c>
      <c r="P189" s="266" t="s">
        <v>153</v>
      </c>
      <c r="Q189" s="266">
        <v>300</v>
      </c>
      <c r="R189" s="278">
        <v>500000</v>
      </c>
      <c r="S189" s="266">
        <v>300000</v>
      </c>
      <c r="T189" s="266">
        <f t="shared" ref="T189:T220" si="20">R189+S189</f>
        <v>800000</v>
      </c>
      <c r="U189" s="266"/>
      <c r="V189" s="266"/>
      <c r="W189" s="266"/>
      <c r="X189" s="266"/>
      <c r="Y189" s="271">
        <v>0.35</v>
      </c>
      <c r="Z189" s="605">
        <f t="shared" si="16"/>
        <v>280000</v>
      </c>
      <c r="AA189" s="266"/>
      <c r="AB189" s="605">
        <f t="shared" si="19"/>
        <v>480000</v>
      </c>
      <c r="AC189" s="605">
        <f t="shared" si="17"/>
        <v>200000</v>
      </c>
      <c r="AD189" s="266"/>
    </row>
    <row r="190" spans="1:31" s="36" customFormat="1" ht="47.25" x14ac:dyDescent="0.25">
      <c r="A190" s="74">
        <v>187</v>
      </c>
      <c r="B190" s="18" t="s">
        <v>2834</v>
      </c>
      <c r="C190" s="134" t="s">
        <v>2850</v>
      </c>
      <c r="D190" s="134" t="s">
        <v>2847</v>
      </c>
      <c r="E190" s="134"/>
      <c r="F190" s="487" t="s">
        <v>2851</v>
      </c>
      <c r="G190" s="78"/>
      <c r="H190" s="379" t="s">
        <v>322</v>
      </c>
      <c r="I190" s="134" t="s">
        <v>2852</v>
      </c>
      <c r="J190" s="78"/>
      <c r="K190" s="78"/>
      <c r="L190" s="18"/>
      <c r="M190" s="333"/>
      <c r="N190" s="559"/>
      <c r="O190" s="18" t="s">
        <v>1048</v>
      </c>
      <c r="P190" s="18" t="s">
        <v>153</v>
      </c>
      <c r="Q190" s="18">
        <v>300</v>
      </c>
      <c r="R190" s="333">
        <v>500000</v>
      </c>
      <c r="S190" s="18">
        <v>300000</v>
      </c>
      <c r="T190" s="18">
        <f t="shared" si="20"/>
        <v>800000</v>
      </c>
      <c r="U190" s="18">
        <f>S190+T190</f>
        <v>1100000</v>
      </c>
      <c r="V190" s="18"/>
      <c r="W190" s="18"/>
      <c r="X190" s="18"/>
      <c r="Y190" s="87">
        <v>0.35</v>
      </c>
      <c r="Z190" s="414">
        <f t="shared" si="16"/>
        <v>280000</v>
      </c>
      <c r="AA190" s="18"/>
      <c r="AB190" s="414">
        <f t="shared" si="19"/>
        <v>480000</v>
      </c>
      <c r="AC190" s="414">
        <f t="shared" si="17"/>
        <v>200000</v>
      </c>
      <c r="AD190" s="18" t="s">
        <v>1746</v>
      </c>
    </row>
    <row r="191" spans="1:31" s="272" customFormat="1" ht="63" x14ac:dyDescent="0.25">
      <c r="A191" s="311">
        <v>188</v>
      </c>
      <c r="B191" s="266" t="s">
        <v>2834</v>
      </c>
      <c r="C191" s="358" t="s">
        <v>2856</v>
      </c>
      <c r="D191" s="358" t="s">
        <v>2835</v>
      </c>
      <c r="E191" s="358"/>
      <c r="F191" s="449" t="s">
        <v>2857</v>
      </c>
      <c r="G191" s="269"/>
      <c r="H191" s="358" t="s">
        <v>273</v>
      </c>
      <c r="I191" s="358" t="s">
        <v>2858</v>
      </c>
      <c r="J191" s="269"/>
      <c r="K191" s="269"/>
      <c r="L191" s="266"/>
      <c r="M191" s="278"/>
      <c r="N191" s="439"/>
      <c r="O191" s="266" t="s">
        <v>1048</v>
      </c>
      <c r="P191" s="266" t="s">
        <v>153</v>
      </c>
      <c r="Q191" s="266">
        <v>300</v>
      </c>
      <c r="R191" s="278">
        <v>500000</v>
      </c>
      <c r="S191" s="266">
        <v>300000</v>
      </c>
      <c r="T191" s="266">
        <f t="shared" si="20"/>
        <v>800000</v>
      </c>
      <c r="U191" s="266"/>
      <c r="V191" s="266"/>
      <c r="W191" s="266"/>
      <c r="X191" s="266"/>
      <c r="Y191" s="271">
        <v>0.35</v>
      </c>
      <c r="Z191" s="605">
        <f t="shared" si="16"/>
        <v>280000</v>
      </c>
      <c r="AA191" s="266"/>
      <c r="AB191" s="605">
        <f t="shared" si="19"/>
        <v>480000</v>
      </c>
      <c r="AC191" s="605">
        <f t="shared" si="17"/>
        <v>200000</v>
      </c>
      <c r="AD191" s="266"/>
    </row>
    <row r="192" spans="1:31" s="36" customFormat="1" ht="47.25" x14ac:dyDescent="0.25">
      <c r="A192" s="113">
        <v>189</v>
      </c>
      <c r="B192" s="18" t="s">
        <v>2834</v>
      </c>
      <c r="C192" s="134" t="s">
        <v>2860</v>
      </c>
      <c r="D192" s="134" t="s">
        <v>2847</v>
      </c>
      <c r="E192" s="134"/>
      <c r="F192" s="487" t="s">
        <v>2859</v>
      </c>
      <c r="G192" s="78"/>
      <c r="H192" s="379" t="s">
        <v>322</v>
      </c>
      <c r="I192" s="134" t="s">
        <v>2861</v>
      </c>
      <c r="J192" s="78"/>
      <c r="K192" s="78"/>
      <c r="L192" s="18"/>
      <c r="M192" s="333"/>
      <c r="N192" s="559"/>
      <c r="O192" s="18" t="s">
        <v>1048</v>
      </c>
      <c r="P192" s="18" t="s">
        <v>153</v>
      </c>
      <c r="Q192" s="18">
        <v>300</v>
      </c>
      <c r="R192" s="333">
        <v>500000</v>
      </c>
      <c r="S192" s="18">
        <v>300000</v>
      </c>
      <c r="T192" s="18">
        <f t="shared" si="20"/>
        <v>800000</v>
      </c>
      <c r="U192" s="18"/>
      <c r="V192" s="18"/>
      <c r="W192" s="18"/>
      <c r="X192" s="18"/>
      <c r="Y192" s="87">
        <v>0.35</v>
      </c>
      <c r="Z192" s="414">
        <f t="shared" si="16"/>
        <v>280000</v>
      </c>
      <c r="AA192" s="18"/>
      <c r="AB192" s="414">
        <f t="shared" si="19"/>
        <v>480000</v>
      </c>
      <c r="AC192" s="414">
        <f t="shared" si="17"/>
        <v>200000</v>
      </c>
      <c r="AD192" s="18" t="s">
        <v>1746</v>
      </c>
    </row>
    <row r="193" spans="1:30" s="272" customFormat="1" ht="47.25" x14ac:dyDescent="0.25">
      <c r="A193" s="74">
        <v>190</v>
      </c>
      <c r="B193" s="266" t="s">
        <v>2834</v>
      </c>
      <c r="C193" s="358" t="s">
        <v>2862</v>
      </c>
      <c r="D193" s="358" t="s">
        <v>2835</v>
      </c>
      <c r="E193" s="358"/>
      <c r="F193" s="449" t="s">
        <v>2863</v>
      </c>
      <c r="G193" s="269"/>
      <c r="H193" s="358" t="s">
        <v>273</v>
      </c>
      <c r="I193" s="358" t="s">
        <v>2869</v>
      </c>
      <c r="J193" s="269"/>
      <c r="K193" s="269"/>
      <c r="L193" s="266"/>
      <c r="M193" s="278"/>
      <c r="N193" s="439"/>
      <c r="O193" s="266" t="s">
        <v>1048</v>
      </c>
      <c r="P193" s="266" t="s">
        <v>153</v>
      </c>
      <c r="Q193" s="266">
        <v>300</v>
      </c>
      <c r="R193" s="278">
        <v>500000</v>
      </c>
      <c r="S193" s="266">
        <v>300000</v>
      </c>
      <c r="T193" s="266">
        <f t="shared" si="20"/>
        <v>800000</v>
      </c>
      <c r="U193" s="266"/>
      <c r="V193" s="266"/>
      <c r="W193" s="266"/>
      <c r="X193" s="266"/>
      <c r="Y193" s="271">
        <v>0.35</v>
      </c>
      <c r="Z193" s="605">
        <f t="shared" si="16"/>
        <v>280000</v>
      </c>
      <c r="AA193" s="266"/>
      <c r="AB193" s="605">
        <f t="shared" si="19"/>
        <v>480000</v>
      </c>
      <c r="AC193" s="605">
        <f t="shared" si="17"/>
        <v>200000</v>
      </c>
      <c r="AD193" s="266"/>
    </row>
    <row r="194" spans="1:30" ht="47.25" x14ac:dyDescent="0.25">
      <c r="A194" s="311">
        <v>191</v>
      </c>
      <c r="B194" s="19" t="s">
        <v>2868</v>
      </c>
      <c r="C194" s="148" t="s">
        <v>2871</v>
      </c>
      <c r="D194" s="148" t="s">
        <v>2872</v>
      </c>
      <c r="E194" s="148"/>
      <c r="F194" s="153" t="s">
        <v>2870</v>
      </c>
      <c r="G194" s="269"/>
      <c r="H194" s="101" t="s">
        <v>1177</v>
      </c>
      <c r="I194" s="148" t="s">
        <v>2873</v>
      </c>
      <c r="J194" s="10"/>
      <c r="K194" s="10"/>
      <c r="L194" s="19"/>
      <c r="M194" s="278"/>
      <c r="N194" s="249"/>
      <c r="O194" s="19" t="s">
        <v>1855</v>
      </c>
      <c r="P194" s="19" t="s">
        <v>278</v>
      </c>
      <c r="Q194" s="19">
        <v>1000</v>
      </c>
      <c r="R194" s="13">
        <v>500000</v>
      </c>
      <c r="S194" s="19">
        <v>675000</v>
      </c>
      <c r="T194" s="19">
        <f t="shared" si="20"/>
        <v>1175000</v>
      </c>
      <c r="U194" s="266"/>
      <c r="V194" s="266"/>
      <c r="W194" s="266"/>
      <c r="X194" s="266"/>
      <c r="Y194" s="165">
        <v>0.4</v>
      </c>
      <c r="Z194" s="376">
        <f t="shared" si="16"/>
        <v>470000</v>
      </c>
      <c r="AA194" s="19"/>
      <c r="AB194" s="376">
        <f t="shared" si="19"/>
        <v>705000</v>
      </c>
      <c r="AC194" s="376">
        <f t="shared" si="17"/>
        <v>235000</v>
      </c>
      <c r="AD194" s="19" t="s">
        <v>1244</v>
      </c>
    </row>
    <row r="195" spans="1:30" ht="47.25" x14ac:dyDescent="0.25">
      <c r="A195" s="113">
        <v>192</v>
      </c>
      <c r="B195" s="19" t="s">
        <v>2868</v>
      </c>
      <c r="C195" s="148" t="s">
        <v>2877</v>
      </c>
      <c r="D195" s="148" t="s">
        <v>2872</v>
      </c>
      <c r="E195" s="148"/>
      <c r="F195" s="153" t="s">
        <v>2878</v>
      </c>
      <c r="G195" s="269"/>
      <c r="H195" s="101" t="s">
        <v>1639</v>
      </c>
      <c r="I195" s="148" t="s">
        <v>2879</v>
      </c>
      <c r="J195" s="10"/>
      <c r="K195" s="10"/>
      <c r="L195" s="19"/>
      <c r="M195" s="278"/>
      <c r="N195" s="249"/>
      <c r="O195" s="19" t="s">
        <v>1855</v>
      </c>
      <c r="P195" s="19" t="s">
        <v>278</v>
      </c>
      <c r="Q195" s="19">
        <v>1000</v>
      </c>
      <c r="R195" s="13">
        <v>500000</v>
      </c>
      <c r="S195" s="19">
        <v>675000</v>
      </c>
      <c r="T195" s="19">
        <f t="shared" si="20"/>
        <v>1175000</v>
      </c>
      <c r="U195" s="266"/>
      <c r="V195" s="266"/>
      <c r="W195" s="266"/>
      <c r="X195" s="266"/>
      <c r="Y195" s="165">
        <v>0.4</v>
      </c>
      <c r="Z195" s="376">
        <f t="shared" si="16"/>
        <v>470000</v>
      </c>
      <c r="AA195" s="19"/>
      <c r="AB195" s="376">
        <f t="shared" si="19"/>
        <v>705000</v>
      </c>
      <c r="AC195" s="376">
        <f t="shared" si="17"/>
        <v>235000</v>
      </c>
      <c r="AD195" s="19" t="s">
        <v>1244</v>
      </c>
    </row>
    <row r="196" spans="1:30" ht="47.25" x14ac:dyDescent="0.25">
      <c r="A196" s="74">
        <v>193</v>
      </c>
      <c r="B196" s="19" t="s">
        <v>2868</v>
      </c>
      <c r="C196" s="148" t="s">
        <v>2880</v>
      </c>
      <c r="D196" s="148" t="s">
        <v>2872</v>
      </c>
      <c r="E196" s="148"/>
      <c r="F196" s="153" t="s">
        <v>2881</v>
      </c>
      <c r="G196" s="269"/>
      <c r="H196" s="101" t="s">
        <v>1639</v>
      </c>
      <c r="I196" s="148" t="s">
        <v>2882</v>
      </c>
      <c r="J196" s="10"/>
      <c r="K196" s="10"/>
      <c r="L196" s="19"/>
      <c r="M196" s="278"/>
      <c r="N196" s="249"/>
      <c r="O196" s="19" t="s">
        <v>1855</v>
      </c>
      <c r="P196" s="19" t="s">
        <v>278</v>
      </c>
      <c r="Q196" s="19">
        <v>1000</v>
      </c>
      <c r="R196" s="13">
        <v>500000</v>
      </c>
      <c r="S196" s="19">
        <v>675000</v>
      </c>
      <c r="T196" s="19">
        <f t="shared" si="20"/>
        <v>1175000</v>
      </c>
      <c r="U196" s="266"/>
      <c r="V196" s="266"/>
      <c r="W196" s="266"/>
      <c r="X196" s="266"/>
      <c r="Y196" s="165">
        <v>0.4</v>
      </c>
      <c r="Z196" s="376">
        <f t="shared" si="16"/>
        <v>470000</v>
      </c>
      <c r="AA196" s="19"/>
      <c r="AB196" s="376">
        <f t="shared" si="19"/>
        <v>705000</v>
      </c>
      <c r="AC196" s="376">
        <f t="shared" si="17"/>
        <v>235000</v>
      </c>
      <c r="AD196" s="19" t="s">
        <v>1244</v>
      </c>
    </row>
    <row r="197" spans="1:30" s="272" customFormat="1" ht="31.5" x14ac:dyDescent="0.25">
      <c r="A197" s="311">
        <v>194</v>
      </c>
      <c r="B197" s="266" t="s">
        <v>2868</v>
      </c>
      <c r="C197" s="358" t="s">
        <v>2883</v>
      </c>
      <c r="D197" s="358" t="s">
        <v>562</v>
      </c>
      <c r="E197" s="358"/>
      <c r="F197" s="449" t="s">
        <v>2884</v>
      </c>
      <c r="G197" s="269"/>
      <c r="H197" s="335" t="s">
        <v>2885</v>
      </c>
      <c r="I197" s="358" t="s">
        <v>2886</v>
      </c>
      <c r="J197" s="498" t="s">
        <v>2887</v>
      </c>
      <c r="K197" s="269"/>
      <c r="L197" s="266"/>
      <c r="M197" s="278"/>
      <c r="N197" s="439"/>
      <c r="O197" s="266" t="s">
        <v>299</v>
      </c>
      <c r="P197" s="266" t="s">
        <v>153</v>
      </c>
      <c r="Q197" s="266">
        <v>500</v>
      </c>
      <c r="R197" s="278">
        <v>500000</v>
      </c>
      <c r="S197" s="266">
        <v>425000</v>
      </c>
      <c r="T197" s="266">
        <f t="shared" si="20"/>
        <v>925000</v>
      </c>
      <c r="U197" s="266"/>
      <c r="V197" s="266"/>
      <c r="W197" s="266"/>
      <c r="X197" s="266"/>
      <c r="Y197" s="271">
        <v>0.4</v>
      </c>
      <c r="Z197" s="605">
        <f t="shared" si="16"/>
        <v>370000</v>
      </c>
      <c r="AA197" s="266"/>
      <c r="AB197" s="605">
        <f t="shared" si="19"/>
        <v>555000</v>
      </c>
      <c r="AC197" s="605">
        <f t="shared" si="17"/>
        <v>185000</v>
      </c>
      <c r="AD197" s="266"/>
    </row>
    <row r="198" spans="1:30" ht="47.25" x14ac:dyDescent="0.25">
      <c r="A198" s="113">
        <v>195</v>
      </c>
      <c r="B198" s="19" t="s">
        <v>2868</v>
      </c>
      <c r="C198" s="148" t="s">
        <v>2888</v>
      </c>
      <c r="D198" s="148" t="s">
        <v>2324</v>
      </c>
      <c r="E198" s="148"/>
      <c r="F198" s="153" t="s">
        <v>2889</v>
      </c>
      <c r="G198" s="10"/>
      <c r="H198" s="101" t="s">
        <v>246</v>
      </c>
      <c r="I198" s="148" t="s">
        <v>2890</v>
      </c>
      <c r="J198" s="10"/>
      <c r="K198" s="10"/>
      <c r="L198" s="19"/>
      <c r="M198" s="13"/>
      <c r="N198" s="249"/>
      <c r="O198" s="19" t="s">
        <v>1048</v>
      </c>
      <c r="P198" s="19" t="s">
        <v>153</v>
      </c>
      <c r="Q198" s="19">
        <v>300</v>
      </c>
      <c r="R198" s="13">
        <v>500000</v>
      </c>
      <c r="S198" s="19">
        <v>300000</v>
      </c>
      <c r="T198" s="19">
        <f t="shared" si="20"/>
        <v>800000</v>
      </c>
      <c r="U198" s="19"/>
      <c r="V198" s="19"/>
      <c r="W198" s="19"/>
      <c r="X198" s="19"/>
      <c r="Y198" s="165">
        <v>0.35</v>
      </c>
      <c r="Z198" s="376">
        <f t="shared" si="16"/>
        <v>280000</v>
      </c>
      <c r="AA198" s="19"/>
      <c r="AB198" s="376">
        <f t="shared" si="19"/>
        <v>480000</v>
      </c>
      <c r="AC198" s="376">
        <f t="shared" si="17"/>
        <v>200000</v>
      </c>
      <c r="AD198" s="19"/>
    </row>
    <row r="199" spans="1:30" s="272" customFormat="1" ht="31.5" x14ac:dyDescent="0.25">
      <c r="A199" s="74">
        <v>196</v>
      </c>
      <c r="B199" s="266" t="s">
        <v>2868</v>
      </c>
      <c r="C199" s="358" t="s">
        <v>2891</v>
      </c>
      <c r="D199" s="358" t="s">
        <v>2065</v>
      </c>
      <c r="E199" s="358"/>
      <c r="F199" s="449" t="s">
        <v>2892</v>
      </c>
      <c r="G199" s="269"/>
      <c r="H199" s="335" t="s">
        <v>2885</v>
      </c>
      <c r="I199" s="358" t="s">
        <v>2893</v>
      </c>
      <c r="J199" s="269" t="s">
        <v>2894</v>
      </c>
      <c r="K199" s="269"/>
      <c r="L199" s="266"/>
      <c r="M199" s="278"/>
      <c r="N199" s="439"/>
      <c r="O199" s="266" t="s">
        <v>1048</v>
      </c>
      <c r="P199" s="266" t="s">
        <v>153</v>
      </c>
      <c r="Q199" s="266">
        <v>300</v>
      </c>
      <c r="R199" s="278">
        <v>500000</v>
      </c>
      <c r="S199" s="266">
        <v>300000</v>
      </c>
      <c r="T199" s="266">
        <f t="shared" si="20"/>
        <v>800000</v>
      </c>
      <c r="U199" s="266"/>
      <c r="V199" s="266"/>
      <c r="W199" s="266"/>
      <c r="X199" s="266"/>
      <c r="Y199" s="271">
        <v>0.4</v>
      </c>
      <c r="Z199" s="605">
        <f t="shared" si="16"/>
        <v>320000</v>
      </c>
      <c r="AA199" s="266"/>
      <c r="AB199" s="605">
        <f t="shared" si="19"/>
        <v>480000</v>
      </c>
      <c r="AC199" s="605">
        <f t="shared" si="17"/>
        <v>160000</v>
      </c>
      <c r="AD199" s="266"/>
    </row>
    <row r="200" spans="1:30" s="272" customFormat="1" ht="47.25" x14ac:dyDescent="0.25">
      <c r="A200" s="311">
        <v>197</v>
      </c>
      <c r="B200" s="266" t="s">
        <v>2868</v>
      </c>
      <c r="C200" s="358" t="s">
        <v>2895</v>
      </c>
      <c r="D200" s="358" t="s">
        <v>984</v>
      </c>
      <c r="E200" s="358"/>
      <c r="F200" s="449" t="s">
        <v>2896</v>
      </c>
      <c r="G200" s="269"/>
      <c r="H200" s="335" t="s">
        <v>273</v>
      </c>
      <c r="I200" s="358" t="s">
        <v>2897</v>
      </c>
      <c r="J200" s="269"/>
      <c r="K200" s="269"/>
      <c r="L200" s="266"/>
      <c r="M200" s="278"/>
      <c r="N200" s="439"/>
      <c r="O200" s="266" t="s">
        <v>1048</v>
      </c>
      <c r="P200" s="266" t="s">
        <v>153</v>
      </c>
      <c r="Q200" s="266">
        <v>300</v>
      </c>
      <c r="R200" s="278">
        <v>500000</v>
      </c>
      <c r="S200" s="266">
        <v>300000</v>
      </c>
      <c r="T200" s="266">
        <f t="shared" si="20"/>
        <v>800000</v>
      </c>
      <c r="U200" s="266"/>
      <c r="V200" s="266"/>
      <c r="W200" s="266"/>
      <c r="X200" s="266"/>
      <c r="Y200" s="271">
        <v>0.35</v>
      </c>
      <c r="Z200" s="605">
        <f t="shared" si="16"/>
        <v>280000</v>
      </c>
      <c r="AA200" s="266"/>
      <c r="AB200" s="605">
        <f t="shared" si="19"/>
        <v>480000</v>
      </c>
      <c r="AC200" s="605">
        <f t="shared" si="17"/>
        <v>200000</v>
      </c>
      <c r="AD200" s="266"/>
    </row>
    <row r="201" spans="1:30" ht="47.25" x14ac:dyDescent="0.25">
      <c r="A201" s="113">
        <v>198</v>
      </c>
      <c r="B201" s="19" t="s">
        <v>2868</v>
      </c>
      <c r="C201" s="148" t="s">
        <v>2902</v>
      </c>
      <c r="D201" s="148"/>
      <c r="E201" s="148"/>
      <c r="F201" s="153" t="s">
        <v>2901</v>
      </c>
      <c r="G201" s="10"/>
      <c r="H201" s="101" t="s">
        <v>273</v>
      </c>
      <c r="I201" s="148" t="s">
        <v>2903</v>
      </c>
      <c r="J201" s="10"/>
      <c r="K201" s="10"/>
      <c r="L201" s="19"/>
      <c r="M201" s="13"/>
      <c r="N201" s="249"/>
      <c r="O201" s="19" t="s">
        <v>1048</v>
      </c>
      <c r="P201" s="19" t="s">
        <v>153</v>
      </c>
      <c r="Q201" s="19">
        <v>300</v>
      </c>
      <c r="R201" s="13">
        <v>500000</v>
      </c>
      <c r="S201" s="19">
        <v>300000</v>
      </c>
      <c r="T201" s="19">
        <f t="shared" si="20"/>
        <v>800000</v>
      </c>
      <c r="U201" s="19"/>
      <c r="V201" s="19"/>
      <c r="W201" s="19"/>
      <c r="X201" s="19"/>
      <c r="Y201" s="165">
        <v>0.35</v>
      </c>
      <c r="Z201" s="376">
        <f t="shared" si="16"/>
        <v>280000</v>
      </c>
      <c r="AA201" s="19"/>
      <c r="AB201" s="376">
        <f t="shared" si="19"/>
        <v>480000</v>
      </c>
      <c r="AC201" s="376">
        <f t="shared" si="17"/>
        <v>200000</v>
      </c>
      <c r="AD201" s="19"/>
    </row>
    <row r="202" spans="1:30" ht="47.25" x14ac:dyDescent="0.25">
      <c r="A202" s="74">
        <v>199</v>
      </c>
      <c r="B202" s="19" t="s">
        <v>2868</v>
      </c>
      <c r="C202" s="148" t="s">
        <v>2905</v>
      </c>
      <c r="D202" s="148" t="s">
        <v>1260</v>
      </c>
      <c r="E202" s="148"/>
      <c r="F202" s="153" t="s">
        <v>2904</v>
      </c>
      <c r="G202" s="10"/>
      <c r="H202" s="101" t="s">
        <v>168</v>
      </c>
      <c r="I202" s="148" t="s">
        <v>2906</v>
      </c>
      <c r="J202" s="10"/>
      <c r="K202" s="10"/>
      <c r="L202" s="19"/>
      <c r="M202" s="13"/>
      <c r="N202" s="249"/>
      <c r="O202" s="266" t="s">
        <v>1048</v>
      </c>
      <c r="P202" s="19" t="s">
        <v>153</v>
      </c>
      <c r="Q202" s="19">
        <v>300</v>
      </c>
      <c r="R202" s="13">
        <v>500000</v>
      </c>
      <c r="S202" s="19">
        <v>300000</v>
      </c>
      <c r="T202" s="19">
        <f t="shared" si="20"/>
        <v>800000</v>
      </c>
      <c r="U202" s="19"/>
      <c r="V202" s="19"/>
      <c r="W202" s="19"/>
      <c r="X202" s="19"/>
      <c r="Y202" s="165">
        <v>0.4</v>
      </c>
      <c r="Z202" s="376">
        <f t="shared" si="16"/>
        <v>320000</v>
      </c>
      <c r="AA202" s="19"/>
      <c r="AB202" s="376">
        <f t="shared" si="19"/>
        <v>480000</v>
      </c>
      <c r="AC202" s="376">
        <f t="shared" si="17"/>
        <v>160000</v>
      </c>
      <c r="AD202" s="19"/>
    </row>
    <row r="203" spans="1:30" ht="47.25" x14ac:dyDescent="0.25">
      <c r="A203" s="311">
        <v>200</v>
      </c>
      <c r="B203" s="19" t="s">
        <v>2868</v>
      </c>
      <c r="C203" s="148" t="s">
        <v>2907</v>
      </c>
      <c r="D203" s="148" t="s">
        <v>1260</v>
      </c>
      <c r="E203" s="148"/>
      <c r="F203" s="101" t="s">
        <v>2217</v>
      </c>
      <c r="G203" s="10"/>
      <c r="H203" s="101" t="s">
        <v>2678</v>
      </c>
      <c r="I203" s="148" t="s">
        <v>2218</v>
      </c>
      <c r="J203" s="10"/>
      <c r="K203" s="10"/>
      <c r="L203" s="19"/>
      <c r="M203" s="13"/>
      <c r="N203" s="249"/>
      <c r="O203" s="266" t="s">
        <v>1048</v>
      </c>
      <c r="P203" s="19" t="s">
        <v>153</v>
      </c>
      <c r="Q203" s="19">
        <v>300</v>
      </c>
      <c r="R203" s="13">
        <v>500000</v>
      </c>
      <c r="S203" s="19">
        <v>300000</v>
      </c>
      <c r="T203" s="19">
        <f t="shared" si="20"/>
        <v>800000</v>
      </c>
      <c r="U203" s="19"/>
      <c r="V203" s="19"/>
      <c r="W203" s="19"/>
      <c r="X203" s="19"/>
      <c r="Y203" s="165">
        <v>0.4</v>
      </c>
      <c r="Z203" s="376">
        <f t="shared" si="16"/>
        <v>320000</v>
      </c>
      <c r="AA203" s="19"/>
      <c r="AB203" s="376">
        <f t="shared" si="19"/>
        <v>480000</v>
      </c>
      <c r="AC203" s="376">
        <f t="shared" si="17"/>
        <v>160000</v>
      </c>
      <c r="AD203" s="19"/>
    </row>
    <row r="204" spans="1:30" ht="31.5" x14ac:dyDescent="0.25">
      <c r="A204" s="113">
        <v>201</v>
      </c>
      <c r="B204" s="19" t="s">
        <v>2868</v>
      </c>
      <c r="C204" s="148" t="s">
        <v>2913</v>
      </c>
      <c r="D204" s="148"/>
      <c r="E204" s="148"/>
      <c r="F204" s="153" t="s">
        <v>2914</v>
      </c>
      <c r="G204" s="10"/>
      <c r="H204" s="101" t="s">
        <v>2180</v>
      </c>
      <c r="I204" s="148" t="s">
        <v>2915</v>
      </c>
      <c r="J204" s="10" t="s">
        <v>2916</v>
      </c>
      <c r="K204" s="10"/>
      <c r="L204" s="19"/>
      <c r="M204" s="13"/>
      <c r="N204" s="249"/>
      <c r="O204" s="19" t="s">
        <v>1048</v>
      </c>
      <c r="P204" s="19" t="s">
        <v>153</v>
      </c>
      <c r="Q204" s="19">
        <v>300</v>
      </c>
      <c r="R204" s="13">
        <v>500000</v>
      </c>
      <c r="S204" s="19">
        <v>300000</v>
      </c>
      <c r="T204" s="19">
        <f t="shared" si="20"/>
        <v>800000</v>
      </c>
      <c r="U204" s="19"/>
      <c r="V204" s="19"/>
      <c r="W204" s="19"/>
      <c r="X204" s="19"/>
      <c r="Y204" s="19"/>
      <c r="Z204" s="376">
        <f t="shared" si="16"/>
        <v>0</v>
      </c>
      <c r="AA204" s="19"/>
      <c r="AB204" s="376">
        <f t="shared" si="19"/>
        <v>480000</v>
      </c>
      <c r="AC204" s="376">
        <f t="shared" si="17"/>
        <v>480000</v>
      </c>
      <c r="AD204" s="19" t="s">
        <v>3317</v>
      </c>
    </row>
    <row r="205" spans="1:30" ht="31.5" x14ac:dyDescent="0.25">
      <c r="A205" s="74">
        <v>202</v>
      </c>
      <c r="B205" s="19" t="s">
        <v>2868</v>
      </c>
      <c r="C205" s="148" t="s">
        <v>2913</v>
      </c>
      <c r="D205" s="148"/>
      <c r="E205" s="148"/>
      <c r="F205" s="153" t="s">
        <v>2914</v>
      </c>
      <c r="G205" s="10"/>
      <c r="H205" s="101" t="s">
        <v>2180</v>
      </c>
      <c r="I205" s="148" t="s">
        <v>2915</v>
      </c>
      <c r="J205" s="10" t="s">
        <v>2916</v>
      </c>
      <c r="K205" s="10"/>
      <c r="L205" s="19"/>
      <c r="M205" s="13"/>
      <c r="N205" s="249"/>
      <c r="O205" s="19" t="s">
        <v>1048</v>
      </c>
      <c r="P205" s="19" t="s">
        <v>153</v>
      </c>
      <c r="Q205" s="19">
        <v>300</v>
      </c>
      <c r="R205" s="13">
        <v>500000</v>
      </c>
      <c r="S205" s="19">
        <v>300000</v>
      </c>
      <c r="T205" s="19">
        <f t="shared" si="20"/>
        <v>800000</v>
      </c>
      <c r="U205" s="19"/>
      <c r="V205" s="19"/>
      <c r="W205" s="19"/>
      <c r="X205" s="19"/>
      <c r="Y205" s="19"/>
      <c r="Z205" s="376">
        <f t="shared" si="16"/>
        <v>0</v>
      </c>
      <c r="AA205" s="19"/>
      <c r="AB205" s="376">
        <f t="shared" si="19"/>
        <v>480000</v>
      </c>
      <c r="AC205" s="376">
        <f t="shared" si="17"/>
        <v>480000</v>
      </c>
      <c r="AD205" s="19" t="s">
        <v>3317</v>
      </c>
    </row>
    <row r="206" spans="1:30" ht="63" x14ac:dyDescent="0.25">
      <c r="A206" s="311">
        <v>203</v>
      </c>
      <c r="B206" s="19" t="s">
        <v>2923</v>
      </c>
      <c r="C206" s="148" t="s">
        <v>2924</v>
      </c>
      <c r="D206" s="148"/>
      <c r="E206" s="148"/>
      <c r="F206" s="101" t="s">
        <v>2925</v>
      </c>
      <c r="G206" s="10"/>
      <c r="H206" s="101" t="s">
        <v>1177</v>
      </c>
      <c r="I206" s="148" t="s">
        <v>2926</v>
      </c>
      <c r="J206" s="157" t="s">
        <v>2927</v>
      </c>
      <c r="K206" s="10"/>
      <c r="L206" s="19"/>
      <c r="M206" s="13"/>
      <c r="N206" s="249"/>
      <c r="O206" s="19" t="s">
        <v>1048</v>
      </c>
      <c r="P206" s="19" t="s">
        <v>153</v>
      </c>
      <c r="Q206" s="19">
        <v>300</v>
      </c>
      <c r="R206" s="13">
        <v>500000</v>
      </c>
      <c r="S206" s="19">
        <v>300000</v>
      </c>
      <c r="T206" s="19">
        <f t="shared" si="20"/>
        <v>800000</v>
      </c>
      <c r="U206" s="19"/>
      <c r="V206" s="19"/>
      <c r="W206" s="19"/>
      <c r="X206" s="19"/>
      <c r="Y206" s="165">
        <v>0.2</v>
      </c>
      <c r="Z206" s="376">
        <f t="shared" si="16"/>
        <v>160000</v>
      </c>
      <c r="AA206" s="19"/>
      <c r="AB206" s="376">
        <f t="shared" si="19"/>
        <v>480000</v>
      </c>
      <c r="AC206" s="376">
        <f t="shared" si="17"/>
        <v>320000</v>
      </c>
      <c r="AD206" s="19" t="s">
        <v>1746</v>
      </c>
    </row>
    <row r="207" spans="1:30" s="320" customFormat="1" ht="47.25" x14ac:dyDescent="0.25">
      <c r="A207" s="113">
        <v>204</v>
      </c>
      <c r="B207" s="269" t="s">
        <v>2923</v>
      </c>
      <c r="C207" s="268" t="s">
        <v>2929</v>
      </c>
      <c r="D207" s="268"/>
      <c r="E207" s="268"/>
      <c r="F207" s="505" t="s">
        <v>2931</v>
      </c>
      <c r="G207" s="269"/>
      <c r="H207" s="267" t="s">
        <v>168</v>
      </c>
      <c r="I207" s="268" t="s">
        <v>2930</v>
      </c>
      <c r="J207" s="269" t="s">
        <v>2928</v>
      </c>
      <c r="K207" s="269"/>
      <c r="L207" s="269"/>
      <c r="M207" s="270"/>
      <c r="N207" s="439"/>
      <c r="O207" s="269" t="s">
        <v>1048</v>
      </c>
      <c r="P207" s="269" t="s">
        <v>153</v>
      </c>
      <c r="Q207" s="269">
        <v>300</v>
      </c>
      <c r="R207" s="270">
        <v>500000</v>
      </c>
      <c r="S207" s="269">
        <v>300000</v>
      </c>
      <c r="T207" s="269">
        <f t="shared" si="20"/>
        <v>800000</v>
      </c>
      <c r="U207" s="269"/>
      <c r="V207" s="269"/>
      <c r="W207" s="269"/>
      <c r="X207" s="269"/>
      <c r="Y207" s="269"/>
      <c r="Z207" s="605">
        <f t="shared" si="16"/>
        <v>0</v>
      </c>
      <c r="AA207" s="269"/>
      <c r="AB207" s="607">
        <f t="shared" si="19"/>
        <v>480000</v>
      </c>
      <c r="AC207" s="607">
        <f t="shared" si="17"/>
        <v>480000</v>
      </c>
      <c r="AD207" s="269"/>
    </row>
    <row r="208" spans="1:30" ht="47.25" x14ac:dyDescent="0.25">
      <c r="A208" s="74">
        <v>205</v>
      </c>
      <c r="B208" s="10" t="s">
        <v>2923</v>
      </c>
      <c r="C208" s="148" t="s">
        <v>2932</v>
      </c>
      <c r="D208" s="148" t="s">
        <v>2933</v>
      </c>
      <c r="E208" s="148"/>
      <c r="F208" s="153" t="s">
        <v>2934</v>
      </c>
      <c r="G208" s="10"/>
      <c r="H208" s="101" t="s">
        <v>345</v>
      </c>
      <c r="I208" s="148" t="s">
        <v>2935</v>
      </c>
      <c r="J208" s="10" t="s">
        <v>2936</v>
      </c>
      <c r="K208" s="10"/>
      <c r="L208" s="19"/>
      <c r="M208" s="13"/>
      <c r="N208" s="249"/>
      <c r="O208" s="19" t="s">
        <v>299</v>
      </c>
      <c r="P208" s="19" t="s">
        <v>153</v>
      </c>
      <c r="Q208" s="19">
        <v>500</v>
      </c>
      <c r="R208" s="13">
        <v>500000</v>
      </c>
      <c r="S208" s="19">
        <v>425000</v>
      </c>
      <c r="T208" s="19">
        <f t="shared" si="20"/>
        <v>925000</v>
      </c>
      <c r="U208" s="19"/>
      <c r="V208" s="19"/>
      <c r="W208" s="19"/>
      <c r="X208" s="19"/>
      <c r="Y208" s="165">
        <v>0.4</v>
      </c>
      <c r="Z208" s="376">
        <f t="shared" si="16"/>
        <v>370000</v>
      </c>
      <c r="AA208" s="19"/>
      <c r="AB208" s="376">
        <f t="shared" si="19"/>
        <v>555000</v>
      </c>
      <c r="AC208" s="376">
        <f t="shared" si="17"/>
        <v>185000</v>
      </c>
      <c r="AD208" s="19" t="s">
        <v>1244</v>
      </c>
    </row>
    <row r="209" spans="1:30" ht="47.25" x14ac:dyDescent="0.25">
      <c r="A209" s="311">
        <v>206</v>
      </c>
      <c r="B209" s="10" t="s">
        <v>2923</v>
      </c>
      <c r="C209" s="148" t="s">
        <v>2937</v>
      </c>
      <c r="D209" s="148"/>
      <c r="E209" s="148"/>
      <c r="F209" s="153" t="s">
        <v>2938</v>
      </c>
      <c r="G209" s="10"/>
      <c r="H209" s="101" t="s">
        <v>1256</v>
      </c>
      <c r="I209" s="148" t="s">
        <v>2939</v>
      </c>
      <c r="J209" s="10" t="s">
        <v>2940</v>
      </c>
      <c r="K209" s="10"/>
      <c r="L209" s="19"/>
      <c r="M209" s="13"/>
      <c r="N209" s="249"/>
      <c r="O209" s="10" t="s">
        <v>1048</v>
      </c>
      <c r="P209" s="10" t="s">
        <v>153</v>
      </c>
      <c r="Q209" s="10">
        <v>300</v>
      </c>
      <c r="R209" s="11">
        <v>500000</v>
      </c>
      <c r="S209" s="10">
        <v>300000</v>
      </c>
      <c r="T209" s="10">
        <f t="shared" si="20"/>
        <v>800000</v>
      </c>
      <c r="U209" s="19"/>
      <c r="V209" s="19"/>
      <c r="W209" s="19"/>
      <c r="X209" s="19"/>
      <c r="Y209" s="19"/>
      <c r="Z209" s="605">
        <f t="shared" si="16"/>
        <v>0</v>
      </c>
      <c r="AA209" s="19"/>
      <c r="AB209" s="376">
        <f t="shared" si="19"/>
        <v>480000</v>
      </c>
      <c r="AC209" s="376">
        <f t="shared" si="17"/>
        <v>480000</v>
      </c>
      <c r="AD209" s="19" t="s">
        <v>1746</v>
      </c>
    </row>
    <row r="210" spans="1:30" s="272" customFormat="1" ht="47.25" x14ac:dyDescent="0.25">
      <c r="A210" s="113">
        <v>207</v>
      </c>
      <c r="B210" s="269" t="s">
        <v>2923</v>
      </c>
      <c r="C210" s="358" t="s">
        <v>2950</v>
      </c>
      <c r="D210" s="358" t="s">
        <v>2933</v>
      </c>
      <c r="E210" s="358"/>
      <c r="F210" s="449" t="s">
        <v>2949</v>
      </c>
      <c r="G210" s="269"/>
      <c r="H210" s="335" t="s">
        <v>345</v>
      </c>
      <c r="I210" s="358" t="s">
        <v>2951</v>
      </c>
      <c r="J210" s="269"/>
      <c r="K210" s="269"/>
      <c r="L210" s="266"/>
      <c r="M210" s="278"/>
      <c r="N210" s="439"/>
      <c r="O210" s="266" t="s">
        <v>299</v>
      </c>
      <c r="P210" s="266" t="s">
        <v>153</v>
      </c>
      <c r="Q210" s="266">
        <v>500</v>
      </c>
      <c r="R210" s="278">
        <v>500000</v>
      </c>
      <c r="S210" s="266">
        <v>425000</v>
      </c>
      <c r="T210" s="266">
        <f t="shared" si="20"/>
        <v>925000</v>
      </c>
      <c r="U210" s="266"/>
      <c r="V210" s="266"/>
      <c r="W210" s="266"/>
      <c r="X210" s="266"/>
      <c r="Y210" s="271">
        <v>0.4</v>
      </c>
      <c r="Z210" s="605">
        <f t="shared" si="16"/>
        <v>370000</v>
      </c>
      <c r="AA210" s="266"/>
      <c r="AB210" s="605">
        <f t="shared" si="19"/>
        <v>555000</v>
      </c>
      <c r="AC210" s="605">
        <f t="shared" si="17"/>
        <v>185000</v>
      </c>
      <c r="AD210" s="266" t="s">
        <v>1746</v>
      </c>
    </row>
    <row r="211" spans="1:30" s="36" customFormat="1" ht="47.25" x14ac:dyDescent="0.25">
      <c r="A211" s="74">
        <v>208</v>
      </c>
      <c r="B211" s="78" t="s">
        <v>2923</v>
      </c>
      <c r="C211" s="134" t="s">
        <v>2954</v>
      </c>
      <c r="D211" s="134" t="s">
        <v>2953</v>
      </c>
      <c r="E211" s="134"/>
      <c r="F211" s="487" t="s">
        <v>2952</v>
      </c>
      <c r="G211" s="78"/>
      <c r="H211" s="379" t="s">
        <v>273</v>
      </c>
      <c r="I211" s="134" t="s">
        <v>2955</v>
      </c>
      <c r="J211" s="78"/>
      <c r="K211" s="78"/>
      <c r="L211" s="18"/>
      <c r="M211" s="333"/>
      <c r="N211" s="559"/>
      <c r="O211" s="78" t="s">
        <v>1048</v>
      </c>
      <c r="P211" s="78" t="s">
        <v>153</v>
      </c>
      <c r="Q211" s="78">
        <v>300</v>
      </c>
      <c r="R211" s="80">
        <v>500000</v>
      </c>
      <c r="S211" s="78">
        <v>300000</v>
      </c>
      <c r="T211" s="78">
        <f t="shared" si="20"/>
        <v>800000</v>
      </c>
      <c r="U211" s="18"/>
      <c r="V211" s="18"/>
      <c r="W211" s="18"/>
      <c r="X211" s="18"/>
      <c r="Y211" s="87">
        <v>0.35</v>
      </c>
      <c r="Z211" s="414">
        <f t="shared" ref="Z211:Z274" si="21">T211*Y211</f>
        <v>280000</v>
      </c>
      <c r="AA211" s="18"/>
      <c r="AB211" s="414">
        <f t="shared" si="19"/>
        <v>480000</v>
      </c>
      <c r="AC211" s="414">
        <f t="shared" si="17"/>
        <v>200000</v>
      </c>
      <c r="AD211" s="18"/>
    </row>
    <row r="212" spans="1:30" ht="47.25" x14ac:dyDescent="0.25">
      <c r="A212" s="311">
        <v>209</v>
      </c>
      <c r="B212" s="10" t="s">
        <v>2923</v>
      </c>
      <c r="C212" s="148" t="s">
        <v>2959</v>
      </c>
      <c r="D212" s="148" t="s">
        <v>562</v>
      </c>
      <c r="E212" s="148"/>
      <c r="F212" s="153" t="s">
        <v>2960</v>
      </c>
      <c r="G212" s="10"/>
      <c r="H212" s="101" t="s">
        <v>1030</v>
      </c>
      <c r="I212" s="148" t="s">
        <v>2961</v>
      </c>
      <c r="J212" s="37" t="s">
        <v>2965</v>
      </c>
      <c r="K212" s="10"/>
      <c r="L212" s="19" t="s">
        <v>3174</v>
      </c>
      <c r="M212" s="13"/>
      <c r="N212" s="249"/>
      <c r="O212" s="19" t="s">
        <v>299</v>
      </c>
      <c r="P212" s="19" t="s">
        <v>153</v>
      </c>
      <c r="Q212" s="19">
        <v>500</v>
      </c>
      <c r="R212" s="13">
        <v>500000</v>
      </c>
      <c r="S212" s="19">
        <v>425000</v>
      </c>
      <c r="T212" s="19">
        <f t="shared" si="20"/>
        <v>925000</v>
      </c>
      <c r="U212" s="19"/>
      <c r="V212" s="19"/>
      <c r="W212" s="19"/>
      <c r="X212" s="19"/>
      <c r="Y212" s="165">
        <v>0.4</v>
      </c>
      <c r="Z212" s="376">
        <f t="shared" si="21"/>
        <v>370000</v>
      </c>
      <c r="AA212" s="19"/>
      <c r="AB212" s="376">
        <f t="shared" si="19"/>
        <v>555000</v>
      </c>
      <c r="AC212" s="376">
        <f t="shared" si="17"/>
        <v>185000</v>
      </c>
      <c r="AD212" s="19" t="s">
        <v>1746</v>
      </c>
    </row>
    <row r="213" spans="1:30" s="272" customFormat="1" ht="47.25" x14ac:dyDescent="0.25">
      <c r="A213" s="113">
        <v>210</v>
      </c>
      <c r="B213" s="269" t="s">
        <v>2923</v>
      </c>
      <c r="C213" s="358" t="s">
        <v>2979</v>
      </c>
      <c r="D213" s="358" t="s">
        <v>309</v>
      </c>
      <c r="E213" s="358"/>
      <c r="F213" s="449" t="s">
        <v>2981</v>
      </c>
      <c r="G213" s="269"/>
      <c r="H213" s="335" t="s">
        <v>1177</v>
      </c>
      <c r="I213" s="358" t="s">
        <v>2980</v>
      </c>
      <c r="J213" s="269"/>
      <c r="K213" s="269"/>
      <c r="L213" s="266"/>
      <c r="M213" s="278"/>
      <c r="N213" s="439"/>
      <c r="O213" s="269" t="s">
        <v>1048</v>
      </c>
      <c r="P213" s="269" t="s">
        <v>153</v>
      </c>
      <c r="Q213" s="269">
        <v>300</v>
      </c>
      <c r="R213" s="270">
        <v>500000</v>
      </c>
      <c r="S213" s="269">
        <v>300000</v>
      </c>
      <c r="T213" s="269">
        <f t="shared" si="20"/>
        <v>800000</v>
      </c>
      <c r="U213" s="266"/>
      <c r="V213" s="266"/>
      <c r="W213" s="266"/>
      <c r="X213" s="266"/>
      <c r="Y213" s="266"/>
      <c r="Z213" s="605">
        <f t="shared" si="21"/>
        <v>0</v>
      </c>
      <c r="AA213" s="266"/>
      <c r="AB213" s="605">
        <f t="shared" si="19"/>
        <v>480000</v>
      </c>
      <c r="AC213" s="605">
        <f t="shared" si="17"/>
        <v>480000</v>
      </c>
      <c r="AD213" s="266"/>
    </row>
    <row r="214" spans="1:30" ht="47.25" x14ac:dyDescent="0.25">
      <c r="A214" s="74">
        <v>211</v>
      </c>
      <c r="B214" s="10" t="s">
        <v>2923</v>
      </c>
      <c r="C214" s="148" t="s">
        <v>2983</v>
      </c>
      <c r="D214" s="148" t="s">
        <v>562</v>
      </c>
      <c r="E214" s="148"/>
      <c r="F214" s="153" t="s">
        <v>2982</v>
      </c>
      <c r="G214" s="10"/>
      <c r="H214" s="101" t="s">
        <v>168</v>
      </c>
      <c r="I214" s="148" t="s">
        <v>2984</v>
      </c>
      <c r="J214" s="10" t="s">
        <v>2985</v>
      </c>
      <c r="K214" s="10"/>
      <c r="L214" s="19"/>
      <c r="M214" s="13"/>
      <c r="N214" s="249"/>
      <c r="O214" s="10" t="s">
        <v>1484</v>
      </c>
      <c r="P214" s="10" t="s">
        <v>153</v>
      </c>
      <c r="Q214" s="10">
        <v>1000</v>
      </c>
      <c r="R214" s="11">
        <v>500000</v>
      </c>
      <c r="S214" s="10">
        <v>675000</v>
      </c>
      <c r="T214" s="10">
        <f t="shared" si="20"/>
        <v>1175000</v>
      </c>
      <c r="U214" s="19"/>
      <c r="V214" s="19"/>
      <c r="W214" s="19"/>
      <c r="X214" s="19"/>
      <c r="Y214" s="165">
        <v>0.4</v>
      </c>
      <c r="Z214" s="376">
        <f t="shared" si="21"/>
        <v>470000</v>
      </c>
      <c r="AA214" s="19"/>
      <c r="AB214" s="376">
        <f t="shared" si="19"/>
        <v>705000</v>
      </c>
      <c r="AC214" s="376">
        <f t="shared" si="17"/>
        <v>235000</v>
      </c>
      <c r="AD214" s="19" t="s">
        <v>1746</v>
      </c>
    </row>
    <row r="215" spans="1:30" s="272" customFormat="1" ht="47.25" x14ac:dyDescent="0.25">
      <c r="A215" s="311">
        <v>212</v>
      </c>
      <c r="B215" s="266" t="s">
        <v>2986</v>
      </c>
      <c r="C215" s="358" t="s">
        <v>2987</v>
      </c>
      <c r="D215" s="358" t="s">
        <v>984</v>
      </c>
      <c r="E215" s="358"/>
      <c r="F215" s="449" t="s">
        <v>2988</v>
      </c>
      <c r="G215" s="269"/>
      <c r="H215" s="335" t="s">
        <v>273</v>
      </c>
      <c r="I215" s="358" t="s">
        <v>2989</v>
      </c>
      <c r="J215" s="269"/>
      <c r="K215" s="269"/>
      <c r="L215" s="266"/>
      <c r="M215" s="278"/>
      <c r="N215" s="439"/>
      <c r="O215" s="269" t="s">
        <v>1048</v>
      </c>
      <c r="P215" s="269" t="s">
        <v>153</v>
      </c>
      <c r="Q215" s="269">
        <v>300</v>
      </c>
      <c r="R215" s="270">
        <v>500000</v>
      </c>
      <c r="S215" s="269">
        <v>300000</v>
      </c>
      <c r="T215" s="269">
        <f t="shared" si="20"/>
        <v>800000</v>
      </c>
      <c r="U215" s="266"/>
      <c r="V215" s="266"/>
      <c r="W215" s="266"/>
      <c r="X215" s="266"/>
      <c r="Y215" s="271">
        <v>0.35</v>
      </c>
      <c r="Z215" s="605">
        <f t="shared" si="21"/>
        <v>280000</v>
      </c>
      <c r="AA215" s="266"/>
      <c r="AB215" s="605">
        <f t="shared" si="19"/>
        <v>480000</v>
      </c>
      <c r="AC215" s="605">
        <f t="shared" si="17"/>
        <v>200000</v>
      </c>
      <c r="AD215" s="266"/>
    </row>
    <row r="216" spans="1:30" ht="47.25" x14ac:dyDescent="0.25">
      <c r="A216" s="113">
        <v>213</v>
      </c>
      <c r="B216" s="19" t="s">
        <v>2986</v>
      </c>
      <c r="C216" s="148" t="s">
        <v>2994</v>
      </c>
      <c r="D216" s="148"/>
      <c r="E216" s="148"/>
      <c r="F216" s="153" t="s">
        <v>2996</v>
      </c>
      <c r="G216" s="10"/>
      <c r="H216" s="101" t="s">
        <v>168</v>
      </c>
      <c r="I216" s="148" t="s">
        <v>2997</v>
      </c>
      <c r="J216" s="37" t="s">
        <v>2995</v>
      </c>
      <c r="K216" s="10"/>
      <c r="L216" s="19"/>
      <c r="M216" s="13"/>
      <c r="N216" s="249"/>
      <c r="O216" s="10" t="s">
        <v>1048</v>
      </c>
      <c r="P216" s="10" t="s">
        <v>153</v>
      </c>
      <c r="Q216" s="10">
        <v>300</v>
      </c>
      <c r="R216" s="11">
        <v>500000</v>
      </c>
      <c r="S216" s="10">
        <v>300000</v>
      </c>
      <c r="T216" s="10">
        <f t="shared" si="20"/>
        <v>800000</v>
      </c>
      <c r="U216" s="19"/>
      <c r="V216" s="19"/>
      <c r="W216" s="19"/>
      <c r="X216" s="19"/>
      <c r="Y216" s="19"/>
      <c r="Z216" s="376">
        <f t="shared" si="21"/>
        <v>0</v>
      </c>
      <c r="AA216" s="19"/>
      <c r="AB216" s="376">
        <f t="shared" si="19"/>
        <v>480000</v>
      </c>
      <c r="AC216" s="376">
        <f t="shared" si="17"/>
        <v>480000</v>
      </c>
      <c r="AD216" s="19" t="s">
        <v>1746</v>
      </c>
    </row>
    <row r="217" spans="1:30" s="272" customFormat="1" ht="63" x14ac:dyDescent="0.25">
      <c r="A217" s="74">
        <v>214</v>
      </c>
      <c r="B217" s="266" t="s">
        <v>2986</v>
      </c>
      <c r="C217" s="358" t="s">
        <v>2998</v>
      </c>
      <c r="D217" s="358" t="s">
        <v>309</v>
      </c>
      <c r="E217" s="358"/>
      <c r="F217" s="449" t="s">
        <v>2999</v>
      </c>
      <c r="G217" s="269"/>
      <c r="H217" s="335" t="s">
        <v>273</v>
      </c>
      <c r="I217" s="358" t="s">
        <v>3000</v>
      </c>
      <c r="J217" s="269"/>
      <c r="K217" s="269"/>
      <c r="L217" s="266"/>
      <c r="M217" s="278"/>
      <c r="N217" s="439"/>
      <c r="O217" s="269" t="s">
        <v>1048</v>
      </c>
      <c r="P217" s="269" t="s">
        <v>153</v>
      </c>
      <c r="Q217" s="269">
        <v>300</v>
      </c>
      <c r="R217" s="270">
        <v>500000</v>
      </c>
      <c r="S217" s="269">
        <v>300000</v>
      </c>
      <c r="T217" s="269">
        <f t="shared" si="20"/>
        <v>800000</v>
      </c>
      <c r="U217" s="266"/>
      <c r="V217" s="266"/>
      <c r="W217" s="266"/>
      <c r="X217" s="266"/>
      <c r="Y217" s="271">
        <v>0.35</v>
      </c>
      <c r="Z217" s="605">
        <f t="shared" si="21"/>
        <v>280000</v>
      </c>
      <c r="AA217" s="266"/>
      <c r="AB217" s="605">
        <f t="shared" si="19"/>
        <v>480000</v>
      </c>
      <c r="AC217" s="605">
        <f t="shared" si="17"/>
        <v>200000</v>
      </c>
      <c r="AD217" s="266"/>
    </row>
    <row r="218" spans="1:30" s="272" customFormat="1" ht="47.25" x14ac:dyDescent="0.25">
      <c r="A218" s="311">
        <v>215</v>
      </c>
      <c r="B218" s="266" t="s">
        <v>2986</v>
      </c>
      <c r="C218" s="358" t="s">
        <v>3006</v>
      </c>
      <c r="D218" s="358" t="s">
        <v>309</v>
      </c>
      <c r="E218" s="358"/>
      <c r="F218" s="449" t="s">
        <v>3005</v>
      </c>
      <c r="G218" s="269"/>
      <c r="H218" s="335" t="s">
        <v>273</v>
      </c>
      <c r="I218" s="358" t="s">
        <v>3007</v>
      </c>
      <c r="J218" s="269"/>
      <c r="K218" s="269"/>
      <c r="L218" s="266"/>
      <c r="M218" s="278"/>
      <c r="N218" s="439"/>
      <c r="O218" s="266" t="s">
        <v>299</v>
      </c>
      <c r="P218" s="266" t="s">
        <v>153</v>
      </c>
      <c r="Q218" s="266">
        <v>500</v>
      </c>
      <c r="R218" s="278">
        <v>500000</v>
      </c>
      <c r="S218" s="266">
        <v>425000</v>
      </c>
      <c r="T218" s="266">
        <f t="shared" si="20"/>
        <v>925000</v>
      </c>
      <c r="U218" s="266"/>
      <c r="V218" s="266"/>
      <c r="W218" s="266"/>
      <c r="X218" s="266"/>
      <c r="Y218" s="271">
        <v>0.35</v>
      </c>
      <c r="Z218" s="605">
        <f t="shared" si="21"/>
        <v>323750</v>
      </c>
      <c r="AA218" s="266"/>
      <c r="AB218" s="605">
        <f t="shared" si="19"/>
        <v>555000</v>
      </c>
      <c r="AC218" s="605">
        <f t="shared" si="17"/>
        <v>231250</v>
      </c>
      <c r="AD218" s="266"/>
    </row>
    <row r="219" spans="1:30" ht="47.25" x14ac:dyDescent="0.25">
      <c r="A219" s="113">
        <v>216</v>
      </c>
      <c r="B219" s="19" t="s">
        <v>2986</v>
      </c>
      <c r="C219" s="148" t="s">
        <v>3009</v>
      </c>
      <c r="D219" s="148" t="s">
        <v>2324</v>
      </c>
      <c r="E219" s="148"/>
      <c r="F219" s="153" t="s">
        <v>3008</v>
      </c>
      <c r="G219" s="10"/>
      <c r="H219" s="101" t="s">
        <v>246</v>
      </c>
      <c r="I219" s="148" t="s">
        <v>3010</v>
      </c>
      <c r="J219" s="10"/>
      <c r="K219" s="10"/>
      <c r="L219" s="19"/>
      <c r="M219" s="13"/>
      <c r="N219" s="249"/>
      <c r="O219" s="19" t="s">
        <v>1855</v>
      </c>
      <c r="P219" s="19" t="s">
        <v>278</v>
      </c>
      <c r="Q219" s="19">
        <v>1000</v>
      </c>
      <c r="R219" s="13">
        <v>500000</v>
      </c>
      <c r="S219" s="19">
        <v>675000</v>
      </c>
      <c r="T219" s="19">
        <f t="shared" si="20"/>
        <v>1175000</v>
      </c>
      <c r="U219" s="19"/>
      <c r="V219" s="19"/>
      <c r="W219" s="19"/>
      <c r="X219" s="19"/>
      <c r="Y219" s="165">
        <v>0.35</v>
      </c>
      <c r="Z219" s="376">
        <f t="shared" si="21"/>
        <v>411250</v>
      </c>
      <c r="AA219" s="19"/>
      <c r="AB219" s="376">
        <f t="shared" si="19"/>
        <v>705000</v>
      </c>
      <c r="AC219" s="376">
        <f t="shared" si="17"/>
        <v>293750</v>
      </c>
      <c r="AD219" s="19" t="s">
        <v>1746</v>
      </c>
    </row>
    <row r="220" spans="1:30" ht="47.25" x14ac:dyDescent="0.25">
      <c r="A220" s="74">
        <v>217</v>
      </c>
      <c r="B220" s="19" t="s">
        <v>3011</v>
      </c>
      <c r="C220" s="148" t="s">
        <v>1688</v>
      </c>
      <c r="D220" s="148" t="s">
        <v>474</v>
      </c>
      <c r="E220" s="148"/>
      <c r="F220" s="153" t="s">
        <v>1689</v>
      </c>
      <c r="G220" s="269"/>
      <c r="H220" s="101" t="s">
        <v>888</v>
      </c>
      <c r="I220" s="148" t="s">
        <v>3012</v>
      </c>
      <c r="J220" s="10"/>
      <c r="K220" s="10"/>
      <c r="L220" s="19"/>
      <c r="M220" s="278"/>
      <c r="N220" s="249"/>
      <c r="O220" s="10" t="s">
        <v>1048</v>
      </c>
      <c r="P220" s="10" t="s">
        <v>153</v>
      </c>
      <c r="Q220" s="10">
        <v>300</v>
      </c>
      <c r="R220" s="11">
        <v>500000</v>
      </c>
      <c r="S220" s="10">
        <v>300000</v>
      </c>
      <c r="T220" s="10">
        <f t="shared" si="20"/>
        <v>800000</v>
      </c>
      <c r="U220" s="266"/>
      <c r="V220" s="266"/>
      <c r="W220" s="266"/>
      <c r="X220" s="266"/>
      <c r="Y220" s="165">
        <v>0.4</v>
      </c>
      <c r="Z220" s="376">
        <f t="shared" si="21"/>
        <v>320000</v>
      </c>
      <c r="AA220" s="19"/>
      <c r="AB220" s="376">
        <f t="shared" si="19"/>
        <v>480000</v>
      </c>
      <c r="AC220" s="376">
        <f t="shared" si="17"/>
        <v>160000</v>
      </c>
      <c r="AD220" s="19"/>
    </row>
    <row r="221" spans="1:30" ht="47.25" x14ac:dyDescent="0.25">
      <c r="A221" s="311">
        <v>218</v>
      </c>
      <c r="B221" s="19" t="s">
        <v>3013</v>
      </c>
      <c r="C221" s="148" t="s">
        <v>3015</v>
      </c>
      <c r="D221" s="148" t="s">
        <v>1686</v>
      </c>
      <c r="E221" s="148"/>
      <c r="F221" s="153" t="s">
        <v>3014</v>
      </c>
      <c r="G221" s="269"/>
      <c r="H221" s="101" t="s">
        <v>1117</v>
      </c>
      <c r="I221" s="148" t="s">
        <v>3016</v>
      </c>
      <c r="J221" s="10"/>
      <c r="K221" s="10"/>
      <c r="L221" s="19"/>
      <c r="M221" s="278"/>
      <c r="N221" s="249"/>
      <c r="O221" s="19" t="s">
        <v>299</v>
      </c>
      <c r="P221" s="19" t="s">
        <v>153</v>
      </c>
      <c r="Q221" s="19">
        <v>500</v>
      </c>
      <c r="R221" s="13">
        <v>500000</v>
      </c>
      <c r="S221" s="19">
        <v>425000</v>
      </c>
      <c r="T221" s="19">
        <f t="shared" ref="T221:T252" si="22">R221+S221</f>
        <v>925000</v>
      </c>
      <c r="U221" s="266"/>
      <c r="V221" s="266"/>
      <c r="W221" s="266"/>
      <c r="X221" s="266"/>
      <c r="Y221" s="165">
        <v>0.47</v>
      </c>
      <c r="Z221" s="376">
        <f t="shared" si="21"/>
        <v>434750</v>
      </c>
      <c r="AA221" s="19"/>
      <c r="AB221" s="376">
        <f t="shared" si="19"/>
        <v>555000</v>
      </c>
      <c r="AC221" s="376">
        <f t="shared" si="17"/>
        <v>120250</v>
      </c>
      <c r="AD221" s="19" t="s">
        <v>1746</v>
      </c>
    </row>
    <row r="222" spans="1:30" s="36" customFormat="1" ht="47.25" x14ac:dyDescent="0.25">
      <c r="A222" s="113">
        <v>219</v>
      </c>
      <c r="B222" s="18" t="s">
        <v>3013</v>
      </c>
      <c r="C222" s="134" t="s">
        <v>3017</v>
      </c>
      <c r="D222" s="134" t="s">
        <v>2847</v>
      </c>
      <c r="E222" s="134"/>
      <c r="F222" s="487" t="s">
        <v>3018</v>
      </c>
      <c r="G222" s="78"/>
      <c r="H222" s="379" t="s">
        <v>322</v>
      </c>
      <c r="I222" s="134" t="s">
        <v>3019</v>
      </c>
      <c r="J222" s="78"/>
      <c r="K222" s="78"/>
      <c r="L222" s="18"/>
      <c r="M222" s="333"/>
      <c r="N222" s="559"/>
      <c r="O222" s="78" t="s">
        <v>1048</v>
      </c>
      <c r="P222" s="78" t="s">
        <v>153</v>
      </c>
      <c r="Q222" s="78">
        <v>300</v>
      </c>
      <c r="R222" s="80">
        <v>500000</v>
      </c>
      <c r="S222" s="78">
        <v>300000</v>
      </c>
      <c r="T222" s="78">
        <f t="shared" si="22"/>
        <v>800000</v>
      </c>
      <c r="U222" s="18"/>
      <c r="V222" s="18"/>
      <c r="W222" s="18"/>
      <c r="X222" s="18"/>
      <c r="Y222" s="87">
        <v>0.35</v>
      </c>
      <c r="Z222" s="414">
        <f t="shared" si="21"/>
        <v>280000</v>
      </c>
      <c r="AA222" s="18"/>
      <c r="AB222" s="414">
        <f t="shared" si="19"/>
        <v>480000</v>
      </c>
      <c r="AC222" s="414">
        <f t="shared" si="17"/>
        <v>200000</v>
      </c>
      <c r="AD222" s="18" t="s">
        <v>1746</v>
      </c>
    </row>
    <row r="223" spans="1:30" ht="47.25" x14ac:dyDescent="0.25">
      <c r="A223" s="74">
        <v>220</v>
      </c>
      <c r="B223" s="19" t="s">
        <v>3013</v>
      </c>
      <c r="C223" s="148" t="s">
        <v>3020</v>
      </c>
      <c r="D223" s="148" t="s">
        <v>2847</v>
      </c>
      <c r="E223" s="148"/>
      <c r="F223" s="101" t="s">
        <v>3021</v>
      </c>
      <c r="G223" s="10"/>
      <c r="H223" s="101" t="s">
        <v>322</v>
      </c>
      <c r="I223" s="148" t="s">
        <v>3022</v>
      </c>
      <c r="J223" s="10"/>
      <c r="K223" s="10"/>
      <c r="L223" s="19"/>
      <c r="M223" s="13"/>
      <c r="N223" s="249"/>
      <c r="O223" s="10" t="s">
        <v>1048</v>
      </c>
      <c r="P223" s="10" t="s">
        <v>153</v>
      </c>
      <c r="Q223" s="10">
        <v>300</v>
      </c>
      <c r="R223" s="11">
        <v>500000</v>
      </c>
      <c r="S223" s="10">
        <v>300000</v>
      </c>
      <c r="T223" s="10">
        <f t="shared" si="22"/>
        <v>800000</v>
      </c>
      <c r="U223" s="19"/>
      <c r="V223" s="19"/>
      <c r="W223" s="19"/>
      <c r="X223" s="19"/>
      <c r="Y223" s="165">
        <v>0.35</v>
      </c>
      <c r="Z223" s="376">
        <f t="shared" si="21"/>
        <v>280000</v>
      </c>
      <c r="AA223" s="19"/>
      <c r="AB223" s="376">
        <f t="shared" si="19"/>
        <v>480000</v>
      </c>
      <c r="AC223" s="376">
        <f t="shared" si="17"/>
        <v>200000</v>
      </c>
      <c r="AD223" s="19" t="s">
        <v>1746</v>
      </c>
    </row>
    <row r="224" spans="1:30" ht="47.25" x14ac:dyDescent="0.25">
      <c r="A224" s="311">
        <v>221</v>
      </c>
      <c r="B224" s="19" t="s">
        <v>3013</v>
      </c>
      <c r="C224" s="148" t="s">
        <v>3023</v>
      </c>
      <c r="D224" s="148"/>
      <c r="E224" s="148"/>
      <c r="F224" s="153" t="s">
        <v>3025</v>
      </c>
      <c r="G224" s="10"/>
      <c r="H224" s="101" t="s">
        <v>199</v>
      </c>
      <c r="I224" s="148" t="s">
        <v>3026</v>
      </c>
      <c r="J224" s="10"/>
      <c r="K224" s="10"/>
      <c r="L224" s="19"/>
      <c r="M224" s="13"/>
      <c r="N224" s="249"/>
      <c r="O224" s="10" t="s">
        <v>1048</v>
      </c>
      <c r="P224" s="10" t="s">
        <v>153</v>
      </c>
      <c r="Q224" s="10">
        <v>300</v>
      </c>
      <c r="R224" s="11">
        <v>500000</v>
      </c>
      <c r="S224" s="10">
        <v>300000</v>
      </c>
      <c r="T224" s="10">
        <f t="shared" si="22"/>
        <v>800000</v>
      </c>
      <c r="U224" s="19"/>
      <c r="V224" s="19"/>
      <c r="W224" s="19"/>
      <c r="X224" s="19"/>
      <c r="Y224" s="165">
        <v>0.4</v>
      </c>
      <c r="Z224" s="376">
        <f t="shared" si="21"/>
        <v>320000</v>
      </c>
      <c r="AA224" s="19"/>
      <c r="AB224" s="376">
        <f t="shared" si="19"/>
        <v>480000</v>
      </c>
      <c r="AC224" s="376">
        <f t="shared" si="17"/>
        <v>160000</v>
      </c>
      <c r="AD224" s="19" t="s">
        <v>3395</v>
      </c>
    </row>
    <row r="225" spans="1:30" s="272" customFormat="1" ht="47.25" x14ac:dyDescent="0.25">
      <c r="A225" s="113">
        <v>222</v>
      </c>
      <c r="B225" s="266" t="s">
        <v>3013</v>
      </c>
      <c r="C225" s="358" t="s">
        <v>3028</v>
      </c>
      <c r="D225" s="358"/>
      <c r="E225" s="358"/>
      <c r="F225" s="449" t="s">
        <v>3029</v>
      </c>
      <c r="G225" s="269"/>
      <c r="H225" s="335" t="s">
        <v>1639</v>
      </c>
      <c r="I225" s="358" t="s">
        <v>3030</v>
      </c>
      <c r="J225" s="269" t="s">
        <v>3027</v>
      </c>
      <c r="K225" s="269"/>
      <c r="L225" s="266"/>
      <c r="M225" s="278"/>
      <c r="N225" s="439"/>
      <c r="O225" s="269" t="s">
        <v>1048</v>
      </c>
      <c r="P225" s="269" t="s">
        <v>153</v>
      </c>
      <c r="Q225" s="269">
        <v>300</v>
      </c>
      <c r="R225" s="270">
        <v>500000</v>
      </c>
      <c r="S225" s="269">
        <v>300000</v>
      </c>
      <c r="T225" s="269">
        <f t="shared" si="22"/>
        <v>800000</v>
      </c>
      <c r="U225" s="266"/>
      <c r="V225" s="266"/>
      <c r="W225" s="266"/>
      <c r="X225" s="266"/>
      <c r="Y225" s="266"/>
      <c r="Z225" s="605">
        <f t="shared" si="21"/>
        <v>0</v>
      </c>
      <c r="AA225" s="266"/>
      <c r="AB225" s="605">
        <f t="shared" si="19"/>
        <v>480000</v>
      </c>
      <c r="AC225" s="605">
        <f t="shared" si="17"/>
        <v>480000</v>
      </c>
      <c r="AD225" s="266"/>
    </row>
    <row r="226" spans="1:30" s="36" customFormat="1" ht="47.25" x14ac:dyDescent="0.25">
      <c r="A226" s="74">
        <v>223</v>
      </c>
      <c r="B226" s="18" t="s">
        <v>3013</v>
      </c>
      <c r="C226" s="134" t="s">
        <v>3032</v>
      </c>
      <c r="D226" s="134" t="s">
        <v>2847</v>
      </c>
      <c r="E226" s="134"/>
      <c r="F226" s="487" t="s">
        <v>3031</v>
      </c>
      <c r="G226" s="78"/>
      <c r="H226" s="379" t="s">
        <v>322</v>
      </c>
      <c r="I226" s="134" t="s">
        <v>3033</v>
      </c>
      <c r="J226" s="78"/>
      <c r="K226" s="78"/>
      <c r="L226" s="18"/>
      <c r="M226" s="333"/>
      <c r="N226" s="559"/>
      <c r="O226" s="78" t="s">
        <v>1048</v>
      </c>
      <c r="P226" s="78" t="s">
        <v>153</v>
      </c>
      <c r="Q226" s="78">
        <v>300</v>
      </c>
      <c r="R226" s="80">
        <v>500000</v>
      </c>
      <c r="S226" s="78">
        <v>300000</v>
      </c>
      <c r="T226" s="78">
        <f t="shared" si="22"/>
        <v>800000</v>
      </c>
      <c r="U226" s="18"/>
      <c r="V226" s="18"/>
      <c r="W226" s="18"/>
      <c r="X226" s="18"/>
      <c r="Y226" s="87">
        <v>0.35</v>
      </c>
      <c r="Z226" s="414">
        <f t="shared" si="21"/>
        <v>280000</v>
      </c>
      <c r="AA226" s="18"/>
      <c r="AB226" s="414">
        <f t="shared" si="19"/>
        <v>480000</v>
      </c>
      <c r="AC226" s="414">
        <f t="shared" ref="AC226:AC289" si="23">AB226-Z226</f>
        <v>200000</v>
      </c>
      <c r="AD226" s="18" t="s">
        <v>1746</v>
      </c>
    </row>
    <row r="227" spans="1:30" s="217" customFormat="1" ht="47.25" x14ac:dyDescent="0.25">
      <c r="A227" s="311">
        <v>224</v>
      </c>
      <c r="B227" s="220" t="s">
        <v>3013</v>
      </c>
      <c r="C227" s="242" t="s">
        <v>3034</v>
      </c>
      <c r="D227" s="242"/>
      <c r="E227" s="242"/>
      <c r="F227" s="241" t="s">
        <v>3035</v>
      </c>
      <c r="G227" s="220"/>
      <c r="H227" s="244"/>
      <c r="I227" s="242" t="s">
        <v>3036</v>
      </c>
      <c r="J227" s="220"/>
      <c r="K227" s="220"/>
      <c r="L227" s="220"/>
      <c r="M227" s="214"/>
      <c r="N227" s="399"/>
      <c r="O227" s="220" t="s">
        <v>1855</v>
      </c>
      <c r="P227" s="220" t="s">
        <v>278</v>
      </c>
      <c r="Q227" s="220">
        <v>1000</v>
      </c>
      <c r="R227" s="214">
        <v>500000</v>
      </c>
      <c r="S227" s="220">
        <v>675000</v>
      </c>
      <c r="T227" s="220">
        <f t="shared" si="22"/>
        <v>1175000</v>
      </c>
      <c r="U227" s="220"/>
      <c r="V227" s="220"/>
      <c r="W227" s="220"/>
      <c r="X227" s="220"/>
      <c r="Y227" s="220"/>
      <c r="Z227" s="376">
        <f t="shared" si="21"/>
        <v>0</v>
      </c>
      <c r="AA227" s="220"/>
      <c r="AB227" s="376">
        <f t="shared" si="19"/>
        <v>705000</v>
      </c>
      <c r="AC227" s="376">
        <f t="shared" si="23"/>
        <v>705000</v>
      </c>
      <c r="AD227" s="220" t="s">
        <v>3316</v>
      </c>
    </row>
    <row r="228" spans="1:30" ht="47.25" x14ac:dyDescent="0.25">
      <c r="A228" s="113">
        <v>225</v>
      </c>
      <c r="B228" s="19" t="s">
        <v>3013</v>
      </c>
      <c r="C228" s="148" t="s">
        <v>3037</v>
      </c>
      <c r="D228" s="148" t="s">
        <v>562</v>
      </c>
      <c r="E228" s="148"/>
      <c r="F228" s="153" t="s">
        <v>3038</v>
      </c>
      <c r="G228" s="10"/>
      <c r="H228" s="101" t="s">
        <v>1243</v>
      </c>
      <c r="I228" s="148" t="s">
        <v>3039</v>
      </c>
      <c r="J228" s="10" t="s">
        <v>3462</v>
      </c>
      <c r="K228" s="10"/>
      <c r="L228" s="19"/>
      <c r="M228" s="13"/>
      <c r="N228" s="249"/>
      <c r="O228" s="10" t="s">
        <v>1048</v>
      </c>
      <c r="P228" s="10" t="s">
        <v>153</v>
      </c>
      <c r="Q228" s="10">
        <v>300</v>
      </c>
      <c r="R228" s="11">
        <v>500000</v>
      </c>
      <c r="S228" s="10">
        <v>300000</v>
      </c>
      <c r="T228" s="10">
        <f t="shared" si="22"/>
        <v>800000</v>
      </c>
      <c r="U228" s="19"/>
      <c r="V228" s="19"/>
      <c r="W228" s="19"/>
      <c r="X228" s="19"/>
      <c r="Y228" s="165">
        <v>0.4</v>
      </c>
      <c r="Z228" s="376">
        <f t="shared" si="21"/>
        <v>320000</v>
      </c>
      <c r="AA228" s="19"/>
      <c r="AB228" s="376">
        <f t="shared" si="19"/>
        <v>480000</v>
      </c>
      <c r="AC228" s="376">
        <f t="shared" si="23"/>
        <v>160000</v>
      </c>
      <c r="AD228" s="19" t="s">
        <v>1746</v>
      </c>
    </row>
    <row r="229" spans="1:30" s="272" customFormat="1" ht="63" x14ac:dyDescent="0.25">
      <c r="A229" s="74">
        <v>226</v>
      </c>
      <c r="B229" s="266" t="s">
        <v>3013</v>
      </c>
      <c r="C229" s="358" t="s">
        <v>3041</v>
      </c>
      <c r="D229" s="358" t="s">
        <v>2495</v>
      </c>
      <c r="E229" s="358"/>
      <c r="F229" s="449" t="s">
        <v>3040</v>
      </c>
      <c r="G229" s="269"/>
      <c r="H229" s="335" t="s">
        <v>273</v>
      </c>
      <c r="I229" s="358" t="s">
        <v>3042</v>
      </c>
      <c r="J229" s="269"/>
      <c r="K229" s="269"/>
      <c r="L229" s="266"/>
      <c r="M229" s="278"/>
      <c r="N229" s="439"/>
      <c r="O229" s="269" t="s">
        <v>1048</v>
      </c>
      <c r="P229" s="269" t="s">
        <v>153</v>
      </c>
      <c r="Q229" s="269">
        <v>300</v>
      </c>
      <c r="R229" s="270">
        <v>500000</v>
      </c>
      <c r="S229" s="269">
        <v>300000</v>
      </c>
      <c r="T229" s="269">
        <f t="shared" si="22"/>
        <v>800000</v>
      </c>
      <c r="U229" s="266"/>
      <c r="V229" s="266"/>
      <c r="W229" s="266"/>
      <c r="X229" s="266"/>
      <c r="Y229" s="271">
        <v>0.35</v>
      </c>
      <c r="Z229" s="605">
        <f t="shared" si="21"/>
        <v>280000</v>
      </c>
      <c r="AA229" s="266"/>
      <c r="AB229" s="605">
        <f t="shared" si="19"/>
        <v>480000</v>
      </c>
      <c r="AC229" s="605">
        <f t="shared" si="23"/>
        <v>200000</v>
      </c>
      <c r="AD229" s="266"/>
    </row>
    <row r="230" spans="1:30" s="272" customFormat="1" ht="47.25" x14ac:dyDescent="0.25">
      <c r="A230" s="311">
        <v>227</v>
      </c>
      <c r="B230" s="266" t="s">
        <v>3013</v>
      </c>
      <c r="C230" s="358" t="s">
        <v>3048</v>
      </c>
      <c r="D230" s="358" t="s">
        <v>3047</v>
      </c>
      <c r="E230" s="358"/>
      <c r="F230" s="449" t="s">
        <v>3046</v>
      </c>
      <c r="G230" s="269"/>
      <c r="H230" s="335" t="s">
        <v>273</v>
      </c>
      <c r="I230" s="358" t="s">
        <v>3049</v>
      </c>
      <c r="J230" s="269"/>
      <c r="K230" s="269"/>
      <c r="L230" s="266"/>
      <c r="M230" s="278"/>
      <c r="N230" s="439"/>
      <c r="O230" s="269" t="s">
        <v>1048</v>
      </c>
      <c r="P230" s="269" t="s">
        <v>153</v>
      </c>
      <c r="Q230" s="269">
        <v>300</v>
      </c>
      <c r="R230" s="270">
        <v>500000</v>
      </c>
      <c r="S230" s="269">
        <v>300000</v>
      </c>
      <c r="T230" s="269">
        <f t="shared" si="22"/>
        <v>800000</v>
      </c>
      <c r="U230" s="266"/>
      <c r="V230" s="266"/>
      <c r="W230" s="266"/>
      <c r="X230" s="266"/>
      <c r="Y230" s="271">
        <v>0.35</v>
      </c>
      <c r="Z230" s="605">
        <f t="shared" si="21"/>
        <v>280000</v>
      </c>
      <c r="AA230" s="266"/>
      <c r="AB230" s="605">
        <f t="shared" si="19"/>
        <v>480000</v>
      </c>
      <c r="AC230" s="605">
        <f t="shared" si="23"/>
        <v>200000</v>
      </c>
      <c r="AD230" s="266"/>
    </row>
    <row r="231" spans="1:30" ht="47.25" x14ac:dyDescent="0.25">
      <c r="A231" s="113">
        <v>228</v>
      </c>
      <c r="B231" s="19" t="s">
        <v>3013</v>
      </c>
      <c r="C231" s="148" t="s">
        <v>1924</v>
      </c>
      <c r="D231" s="148" t="s">
        <v>3024</v>
      </c>
      <c r="E231" s="148"/>
      <c r="F231" s="101" t="s">
        <v>3051</v>
      </c>
      <c r="G231" s="10"/>
      <c r="H231" s="101" t="s">
        <v>1926</v>
      </c>
      <c r="I231" s="148" t="s">
        <v>3050</v>
      </c>
      <c r="J231" s="10"/>
      <c r="K231" s="10"/>
      <c r="L231" s="19"/>
      <c r="M231" s="13"/>
      <c r="N231" s="249"/>
      <c r="O231" s="19" t="s">
        <v>299</v>
      </c>
      <c r="P231" s="19" t="s">
        <v>153</v>
      </c>
      <c r="Q231" s="19">
        <v>500</v>
      </c>
      <c r="R231" s="13">
        <v>500000</v>
      </c>
      <c r="S231" s="19">
        <v>425000</v>
      </c>
      <c r="T231" s="19">
        <f t="shared" si="22"/>
        <v>925000</v>
      </c>
      <c r="U231" s="19"/>
      <c r="V231" s="19"/>
      <c r="W231" s="19"/>
      <c r="X231" s="19"/>
      <c r="Y231" s="165">
        <v>0.4</v>
      </c>
      <c r="Z231" s="376">
        <f t="shared" si="21"/>
        <v>370000</v>
      </c>
      <c r="AA231" s="19"/>
      <c r="AB231" s="376">
        <f t="shared" si="19"/>
        <v>555000</v>
      </c>
      <c r="AC231" s="376">
        <f t="shared" si="23"/>
        <v>185000</v>
      </c>
      <c r="AD231" s="19" t="s">
        <v>1244</v>
      </c>
    </row>
    <row r="232" spans="1:30" s="82" customFormat="1" ht="47.25" x14ac:dyDescent="0.25">
      <c r="A232" s="74">
        <v>229</v>
      </c>
      <c r="B232" s="78" t="s">
        <v>3013</v>
      </c>
      <c r="C232" s="137" t="s">
        <v>3052</v>
      </c>
      <c r="D232" s="137"/>
      <c r="E232" s="137"/>
      <c r="F232" s="565" t="s">
        <v>997</v>
      </c>
      <c r="G232" s="78"/>
      <c r="H232" s="275" t="s">
        <v>1639</v>
      </c>
      <c r="I232" s="137" t="s">
        <v>3053</v>
      </c>
      <c r="J232" s="78"/>
      <c r="K232" s="78"/>
      <c r="L232" s="78"/>
      <c r="M232" s="80"/>
      <c r="N232" s="559"/>
      <c r="O232" s="78" t="s">
        <v>1855</v>
      </c>
      <c r="P232" s="78" t="s">
        <v>278</v>
      </c>
      <c r="Q232" s="78">
        <v>1000</v>
      </c>
      <c r="R232" s="80">
        <v>500000</v>
      </c>
      <c r="S232" s="78">
        <v>675000</v>
      </c>
      <c r="T232" s="78">
        <f t="shared" si="22"/>
        <v>1175000</v>
      </c>
      <c r="U232" s="78"/>
      <c r="V232" s="78"/>
      <c r="W232" s="78"/>
      <c r="X232" s="78"/>
      <c r="Y232" s="328">
        <v>0.2</v>
      </c>
      <c r="Z232" s="414">
        <f t="shared" si="21"/>
        <v>235000</v>
      </c>
      <c r="AA232" s="78"/>
      <c r="AB232" s="587">
        <f t="shared" si="19"/>
        <v>705000</v>
      </c>
      <c r="AC232" s="587">
        <f t="shared" si="23"/>
        <v>470000</v>
      </c>
      <c r="AD232" s="78" t="s">
        <v>1746</v>
      </c>
    </row>
    <row r="233" spans="1:30" s="272" customFormat="1" ht="47.25" x14ac:dyDescent="0.25">
      <c r="A233" s="311">
        <v>230</v>
      </c>
      <c r="B233" s="269" t="s">
        <v>3013</v>
      </c>
      <c r="C233" s="358" t="s">
        <v>3054</v>
      </c>
      <c r="D233" s="358"/>
      <c r="E233" s="358"/>
      <c r="F233" s="449" t="s">
        <v>465</v>
      </c>
      <c r="G233" s="269"/>
      <c r="H233" s="335" t="s">
        <v>3055</v>
      </c>
      <c r="I233" s="358" t="s">
        <v>3056</v>
      </c>
      <c r="J233" s="269"/>
      <c r="K233" s="269"/>
      <c r="L233" s="266"/>
      <c r="M233" s="278"/>
      <c r="N233" s="439"/>
      <c r="O233" s="266" t="s">
        <v>299</v>
      </c>
      <c r="P233" s="266" t="s">
        <v>153</v>
      </c>
      <c r="Q233" s="266">
        <v>500</v>
      </c>
      <c r="R233" s="278">
        <v>500000</v>
      </c>
      <c r="S233" s="266">
        <v>425000</v>
      </c>
      <c r="T233" s="266">
        <f t="shared" si="22"/>
        <v>925000</v>
      </c>
      <c r="U233" s="266"/>
      <c r="V233" s="266"/>
      <c r="W233" s="266"/>
      <c r="X233" s="266"/>
      <c r="Y233" s="271">
        <v>0.4</v>
      </c>
      <c r="Z233" s="605">
        <f t="shared" si="21"/>
        <v>370000</v>
      </c>
      <c r="AA233" s="266"/>
      <c r="AB233" s="605">
        <f t="shared" si="19"/>
        <v>555000</v>
      </c>
      <c r="AC233" s="605">
        <f t="shared" si="23"/>
        <v>185000</v>
      </c>
      <c r="AD233" s="266"/>
    </row>
    <row r="234" spans="1:30" ht="47.25" x14ac:dyDescent="0.25">
      <c r="A234" s="113">
        <v>231</v>
      </c>
      <c r="B234" s="19" t="s">
        <v>3013</v>
      </c>
      <c r="C234" s="148" t="s">
        <v>3082</v>
      </c>
      <c r="D234" s="148" t="s">
        <v>2933</v>
      </c>
      <c r="E234" s="148"/>
      <c r="F234" s="153" t="s">
        <v>3083</v>
      </c>
      <c r="G234" s="10"/>
      <c r="H234" s="101" t="s">
        <v>168</v>
      </c>
      <c r="I234" s="148" t="s">
        <v>3084</v>
      </c>
      <c r="J234" s="10"/>
      <c r="K234" s="10"/>
      <c r="L234" s="19"/>
      <c r="M234" s="13"/>
      <c r="N234" s="249"/>
      <c r="O234" s="19" t="s">
        <v>299</v>
      </c>
      <c r="P234" s="19" t="s">
        <v>153</v>
      </c>
      <c r="Q234" s="19">
        <v>500</v>
      </c>
      <c r="R234" s="13">
        <v>500000</v>
      </c>
      <c r="S234" s="19">
        <v>425000</v>
      </c>
      <c r="T234" s="19">
        <f t="shared" si="22"/>
        <v>925000</v>
      </c>
      <c r="U234" s="19"/>
      <c r="V234" s="19"/>
      <c r="W234" s="19"/>
      <c r="X234" s="19"/>
      <c r="Y234" s="165">
        <v>0.4</v>
      </c>
      <c r="Z234" s="376">
        <f t="shared" si="21"/>
        <v>370000</v>
      </c>
      <c r="AA234" s="19"/>
      <c r="AB234" s="376">
        <f t="shared" si="19"/>
        <v>555000</v>
      </c>
      <c r="AC234" s="376">
        <f t="shared" si="23"/>
        <v>185000</v>
      </c>
      <c r="AD234" s="19" t="s">
        <v>1244</v>
      </c>
    </row>
    <row r="235" spans="1:30" s="272" customFormat="1" ht="47.25" x14ac:dyDescent="0.25">
      <c r="A235" s="74">
        <v>232</v>
      </c>
      <c r="B235" s="266" t="s">
        <v>3013</v>
      </c>
      <c r="C235" s="358" t="s">
        <v>3085</v>
      </c>
      <c r="D235" s="358"/>
      <c r="E235" s="358"/>
      <c r="F235" s="449" t="s">
        <v>3087</v>
      </c>
      <c r="G235" s="269"/>
      <c r="H235" s="335" t="s">
        <v>273</v>
      </c>
      <c r="I235" s="358" t="s">
        <v>3086</v>
      </c>
      <c r="J235" s="269"/>
      <c r="K235" s="269"/>
      <c r="L235" s="266"/>
      <c r="M235" s="278"/>
      <c r="N235" s="439"/>
      <c r="O235" s="269" t="s">
        <v>1048</v>
      </c>
      <c r="P235" s="269" t="s">
        <v>153</v>
      </c>
      <c r="Q235" s="269">
        <v>300</v>
      </c>
      <c r="R235" s="270">
        <v>500000</v>
      </c>
      <c r="S235" s="269">
        <v>300000</v>
      </c>
      <c r="T235" s="269">
        <f t="shared" si="22"/>
        <v>800000</v>
      </c>
      <c r="U235" s="266"/>
      <c r="V235" s="266"/>
      <c r="W235" s="266"/>
      <c r="X235" s="266"/>
      <c r="Y235" s="271">
        <v>0.35</v>
      </c>
      <c r="Z235" s="605">
        <f t="shared" si="21"/>
        <v>280000</v>
      </c>
      <c r="AA235" s="266"/>
      <c r="AB235" s="605">
        <f t="shared" si="19"/>
        <v>480000</v>
      </c>
      <c r="AC235" s="605">
        <f t="shared" si="23"/>
        <v>200000</v>
      </c>
      <c r="AD235" s="266"/>
    </row>
    <row r="236" spans="1:30" s="217" customFormat="1" ht="47.25" x14ac:dyDescent="0.25">
      <c r="A236" s="311">
        <v>233</v>
      </c>
      <c r="B236" s="239">
        <v>43831</v>
      </c>
      <c r="C236" s="242" t="s">
        <v>3094</v>
      </c>
      <c r="D236" s="242" t="s">
        <v>2933</v>
      </c>
      <c r="E236" s="242"/>
      <c r="F236" s="241" t="s">
        <v>3093</v>
      </c>
      <c r="G236" s="220"/>
      <c r="H236" s="244" t="s">
        <v>345</v>
      </c>
      <c r="I236" s="242" t="s">
        <v>3095</v>
      </c>
      <c r="J236" s="220"/>
      <c r="K236" s="220"/>
      <c r="L236" s="220"/>
      <c r="M236" s="214"/>
      <c r="N236" s="399"/>
      <c r="O236" s="220" t="s">
        <v>1048</v>
      </c>
      <c r="P236" s="220" t="s">
        <v>153</v>
      </c>
      <c r="Q236" s="220">
        <v>300</v>
      </c>
      <c r="R236" s="214">
        <v>500000</v>
      </c>
      <c r="S236" s="220">
        <v>300000</v>
      </c>
      <c r="T236" s="220">
        <f t="shared" si="22"/>
        <v>800000</v>
      </c>
      <c r="U236" s="220"/>
      <c r="V236" s="220"/>
      <c r="W236" s="220"/>
      <c r="X236" s="220"/>
      <c r="Y236" s="243">
        <v>0.4</v>
      </c>
      <c r="Z236" s="376">
        <f t="shared" si="21"/>
        <v>320000</v>
      </c>
      <c r="AA236" s="220"/>
      <c r="AB236" s="376">
        <f t="shared" si="19"/>
        <v>480000</v>
      </c>
      <c r="AC236" s="376">
        <f t="shared" si="23"/>
        <v>160000</v>
      </c>
      <c r="AD236" s="220" t="s">
        <v>1244</v>
      </c>
    </row>
    <row r="237" spans="1:30" s="272" customFormat="1" ht="47.25" x14ac:dyDescent="0.25">
      <c r="A237" s="113">
        <v>234</v>
      </c>
      <c r="B237" s="373">
        <v>43862</v>
      </c>
      <c r="C237" s="358" t="s">
        <v>3096</v>
      </c>
      <c r="D237" s="358"/>
      <c r="E237" s="358"/>
      <c r="F237" s="449" t="s">
        <v>3098</v>
      </c>
      <c r="G237" s="269"/>
      <c r="H237" s="335" t="s">
        <v>273</v>
      </c>
      <c r="I237" s="358" t="s">
        <v>3097</v>
      </c>
      <c r="J237" s="269"/>
      <c r="K237" s="269"/>
      <c r="L237" s="266"/>
      <c r="M237" s="278"/>
      <c r="N237" s="439"/>
      <c r="O237" s="266" t="s">
        <v>299</v>
      </c>
      <c r="P237" s="266" t="s">
        <v>153</v>
      </c>
      <c r="Q237" s="266">
        <v>500</v>
      </c>
      <c r="R237" s="278">
        <v>500000</v>
      </c>
      <c r="S237" s="266">
        <v>425000</v>
      </c>
      <c r="T237" s="266">
        <f t="shared" si="22"/>
        <v>925000</v>
      </c>
      <c r="U237" s="266"/>
      <c r="V237" s="266"/>
      <c r="W237" s="266"/>
      <c r="X237" s="266"/>
      <c r="Y237" s="271">
        <v>0.35</v>
      </c>
      <c r="Z237" s="605">
        <f t="shared" si="21"/>
        <v>323750</v>
      </c>
      <c r="AA237" s="266"/>
      <c r="AB237" s="605">
        <f t="shared" si="19"/>
        <v>555000</v>
      </c>
      <c r="AC237" s="605">
        <f t="shared" si="23"/>
        <v>231250</v>
      </c>
      <c r="AD237" s="266"/>
    </row>
    <row r="238" spans="1:30" s="272" customFormat="1" ht="47.25" x14ac:dyDescent="0.25">
      <c r="A238" s="74">
        <v>235</v>
      </c>
      <c r="B238" s="373">
        <v>43862</v>
      </c>
      <c r="C238" s="358" t="s">
        <v>3100</v>
      </c>
      <c r="D238" s="358"/>
      <c r="E238" s="358"/>
      <c r="F238" s="449" t="s">
        <v>3099</v>
      </c>
      <c r="G238" s="269"/>
      <c r="H238" s="335" t="s">
        <v>273</v>
      </c>
      <c r="I238" s="358" t="s">
        <v>3101</v>
      </c>
      <c r="J238" s="269"/>
      <c r="K238" s="269"/>
      <c r="L238" s="266"/>
      <c r="M238" s="278"/>
      <c r="N238" s="439"/>
      <c r="O238" s="269" t="s">
        <v>1048</v>
      </c>
      <c r="P238" s="269" t="s">
        <v>153</v>
      </c>
      <c r="Q238" s="269">
        <v>300</v>
      </c>
      <c r="R238" s="270">
        <v>500000</v>
      </c>
      <c r="S238" s="269">
        <v>300000</v>
      </c>
      <c r="T238" s="269">
        <f t="shared" si="22"/>
        <v>800000</v>
      </c>
      <c r="U238" s="266"/>
      <c r="V238" s="266"/>
      <c r="W238" s="266"/>
      <c r="X238" s="266"/>
      <c r="Y238" s="271">
        <v>0.35</v>
      </c>
      <c r="Z238" s="605">
        <f t="shared" si="21"/>
        <v>280000</v>
      </c>
      <c r="AA238" s="266"/>
      <c r="AB238" s="605">
        <f t="shared" si="19"/>
        <v>480000</v>
      </c>
      <c r="AC238" s="605">
        <f t="shared" si="23"/>
        <v>200000</v>
      </c>
      <c r="AD238" s="266"/>
    </row>
    <row r="239" spans="1:30" s="272" customFormat="1" ht="47.25" x14ac:dyDescent="0.25">
      <c r="A239" s="311">
        <v>236</v>
      </c>
      <c r="B239" s="373">
        <v>43862</v>
      </c>
      <c r="C239" s="358" t="s">
        <v>3103</v>
      </c>
      <c r="D239" s="358"/>
      <c r="E239" s="358"/>
      <c r="F239" s="449" t="s">
        <v>3102</v>
      </c>
      <c r="G239" s="269"/>
      <c r="H239" s="335" t="s">
        <v>273</v>
      </c>
      <c r="I239" s="358" t="s">
        <v>3104</v>
      </c>
      <c r="J239" s="269"/>
      <c r="K239" s="269"/>
      <c r="L239" s="266"/>
      <c r="M239" s="278"/>
      <c r="N239" s="439"/>
      <c r="O239" s="269" t="s">
        <v>1048</v>
      </c>
      <c r="P239" s="269" t="s">
        <v>153</v>
      </c>
      <c r="Q239" s="269">
        <v>300</v>
      </c>
      <c r="R239" s="270">
        <v>500000</v>
      </c>
      <c r="S239" s="269">
        <v>300000</v>
      </c>
      <c r="T239" s="269">
        <f t="shared" si="22"/>
        <v>800000</v>
      </c>
      <c r="U239" s="266"/>
      <c r="V239" s="266"/>
      <c r="W239" s="266"/>
      <c r="X239" s="266"/>
      <c r="Y239" s="271">
        <v>0.35</v>
      </c>
      <c r="Z239" s="605">
        <f t="shared" si="21"/>
        <v>280000</v>
      </c>
      <c r="AA239" s="266"/>
      <c r="AB239" s="605">
        <f t="shared" si="19"/>
        <v>480000</v>
      </c>
      <c r="AC239" s="605">
        <f t="shared" si="23"/>
        <v>200000</v>
      </c>
      <c r="AD239" s="266"/>
    </row>
    <row r="240" spans="1:30" s="272" customFormat="1" ht="47.25" x14ac:dyDescent="0.25">
      <c r="A240" s="113">
        <v>237</v>
      </c>
      <c r="B240" s="373">
        <v>43862</v>
      </c>
      <c r="C240" s="358" t="s">
        <v>3108</v>
      </c>
      <c r="D240" s="358"/>
      <c r="E240" s="358"/>
      <c r="F240" s="449" t="s">
        <v>3109</v>
      </c>
      <c r="G240" s="269"/>
      <c r="H240" s="335" t="s">
        <v>273</v>
      </c>
      <c r="I240" s="358" t="s">
        <v>3110</v>
      </c>
      <c r="J240" s="269"/>
      <c r="K240" s="269"/>
      <c r="L240" s="266"/>
      <c r="M240" s="278"/>
      <c r="N240" s="439"/>
      <c r="O240" s="269" t="s">
        <v>1048</v>
      </c>
      <c r="P240" s="269" t="s">
        <v>153</v>
      </c>
      <c r="Q240" s="269">
        <v>300</v>
      </c>
      <c r="R240" s="270">
        <v>500000</v>
      </c>
      <c r="S240" s="269">
        <v>300000</v>
      </c>
      <c r="T240" s="269">
        <f t="shared" si="22"/>
        <v>800000</v>
      </c>
      <c r="U240" s="266"/>
      <c r="V240" s="266"/>
      <c r="W240" s="266"/>
      <c r="X240" s="266"/>
      <c r="Y240" s="271">
        <v>0.35</v>
      </c>
      <c r="Z240" s="605">
        <f t="shared" si="21"/>
        <v>280000</v>
      </c>
      <c r="AA240" s="266"/>
      <c r="AB240" s="605">
        <f t="shared" si="19"/>
        <v>480000</v>
      </c>
      <c r="AC240" s="605">
        <f t="shared" si="23"/>
        <v>200000</v>
      </c>
      <c r="AD240" s="266"/>
    </row>
    <row r="241" spans="1:31" ht="47.25" x14ac:dyDescent="0.25">
      <c r="A241" s="74">
        <v>238</v>
      </c>
      <c r="B241" s="22">
        <v>43891</v>
      </c>
      <c r="C241" s="148" t="s">
        <v>3113</v>
      </c>
      <c r="D241" s="148" t="s">
        <v>1686</v>
      </c>
      <c r="E241" s="148"/>
      <c r="F241" s="153" t="s">
        <v>3111</v>
      </c>
      <c r="G241" s="269"/>
      <c r="H241" s="101" t="s">
        <v>2199</v>
      </c>
      <c r="I241" s="148" t="s">
        <v>3112</v>
      </c>
      <c r="J241" s="10"/>
      <c r="K241" s="10"/>
      <c r="L241" s="19"/>
      <c r="M241" s="278"/>
      <c r="N241" s="249"/>
      <c r="O241" s="10" t="s">
        <v>1855</v>
      </c>
      <c r="P241" s="10" t="s">
        <v>278</v>
      </c>
      <c r="Q241" s="10">
        <v>1000</v>
      </c>
      <c r="R241" s="11">
        <v>500000</v>
      </c>
      <c r="S241" s="10">
        <v>675000</v>
      </c>
      <c r="T241" s="10">
        <f t="shared" si="22"/>
        <v>1175000</v>
      </c>
      <c r="U241" s="266"/>
      <c r="V241" s="266"/>
      <c r="W241" s="266"/>
      <c r="X241" s="266"/>
      <c r="Y241" s="165">
        <v>0.47</v>
      </c>
      <c r="Z241" s="376">
        <f t="shared" si="21"/>
        <v>552250</v>
      </c>
      <c r="AA241" s="19"/>
      <c r="AB241" s="376">
        <f t="shared" si="19"/>
        <v>705000</v>
      </c>
      <c r="AC241" s="376">
        <f t="shared" si="23"/>
        <v>152750</v>
      </c>
      <c r="AD241" s="19"/>
    </row>
    <row r="242" spans="1:31" s="272" customFormat="1" ht="47.25" x14ac:dyDescent="0.25">
      <c r="A242" s="311">
        <v>239</v>
      </c>
      <c r="B242" s="373">
        <v>43891</v>
      </c>
      <c r="C242" s="358" t="s">
        <v>3115</v>
      </c>
      <c r="D242" s="358"/>
      <c r="E242" s="358"/>
      <c r="F242" s="449" t="s">
        <v>3114</v>
      </c>
      <c r="G242" s="269"/>
      <c r="H242" s="335" t="s">
        <v>327</v>
      </c>
      <c r="I242" s="358" t="s">
        <v>3116</v>
      </c>
      <c r="J242" s="269" t="s">
        <v>3117</v>
      </c>
      <c r="K242" s="269"/>
      <c r="L242" s="266"/>
      <c r="M242" s="278"/>
      <c r="N242" s="439"/>
      <c r="O242" s="269" t="s">
        <v>1048</v>
      </c>
      <c r="P242" s="269" t="s">
        <v>153</v>
      </c>
      <c r="Q242" s="269">
        <v>300</v>
      </c>
      <c r="R242" s="270">
        <v>500000</v>
      </c>
      <c r="S242" s="269">
        <v>300000</v>
      </c>
      <c r="T242" s="269">
        <f t="shared" si="22"/>
        <v>800000</v>
      </c>
      <c r="U242" s="266"/>
      <c r="V242" s="266"/>
      <c r="W242" s="266"/>
      <c r="X242" s="266"/>
      <c r="Y242" s="271">
        <v>0.35</v>
      </c>
      <c r="Z242" s="605">
        <f t="shared" si="21"/>
        <v>280000</v>
      </c>
      <c r="AA242" s="266"/>
      <c r="AB242" s="605">
        <f t="shared" si="19"/>
        <v>480000</v>
      </c>
      <c r="AC242" s="605">
        <f t="shared" si="23"/>
        <v>200000</v>
      </c>
      <c r="AD242" s="266"/>
    </row>
    <row r="243" spans="1:31" s="272" customFormat="1" ht="47.25" x14ac:dyDescent="0.25">
      <c r="A243" s="113">
        <v>240</v>
      </c>
      <c r="B243" s="373">
        <v>43891</v>
      </c>
      <c r="C243" s="358" t="s">
        <v>3122</v>
      </c>
      <c r="D243" s="358"/>
      <c r="E243" s="358"/>
      <c r="F243" s="449" t="s">
        <v>3121</v>
      </c>
      <c r="G243" s="269"/>
      <c r="H243" s="335" t="s">
        <v>273</v>
      </c>
      <c r="I243" s="358" t="s">
        <v>3123</v>
      </c>
      <c r="J243" s="269"/>
      <c r="K243" s="269"/>
      <c r="L243" s="266"/>
      <c r="M243" s="278"/>
      <c r="N243" s="439"/>
      <c r="O243" s="269" t="s">
        <v>1048</v>
      </c>
      <c r="P243" s="269" t="s">
        <v>153</v>
      </c>
      <c r="Q243" s="269">
        <v>300</v>
      </c>
      <c r="R243" s="270">
        <v>500000</v>
      </c>
      <c r="S243" s="269">
        <v>300000</v>
      </c>
      <c r="T243" s="269">
        <f t="shared" si="22"/>
        <v>800000</v>
      </c>
      <c r="U243" s="266"/>
      <c r="V243" s="266"/>
      <c r="W243" s="266"/>
      <c r="X243" s="266"/>
      <c r="Y243" s="271">
        <v>0.35</v>
      </c>
      <c r="Z243" s="605">
        <f t="shared" si="21"/>
        <v>280000</v>
      </c>
      <c r="AA243" s="266"/>
      <c r="AB243" s="605">
        <f t="shared" si="19"/>
        <v>480000</v>
      </c>
      <c r="AC243" s="605">
        <f t="shared" si="23"/>
        <v>200000</v>
      </c>
      <c r="AD243" s="266"/>
    </row>
    <row r="244" spans="1:31" s="272" customFormat="1" ht="47.25" x14ac:dyDescent="0.25">
      <c r="A244" s="74">
        <v>241</v>
      </c>
      <c r="B244" s="373">
        <v>43891</v>
      </c>
      <c r="C244" s="358" t="s">
        <v>3125</v>
      </c>
      <c r="D244" s="358"/>
      <c r="E244" s="358"/>
      <c r="F244" s="449" t="s">
        <v>3124</v>
      </c>
      <c r="G244" s="269"/>
      <c r="H244" s="335" t="s">
        <v>448</v>
      </c>
      <c r="I244" s="358" t="s">
        <v>3126</v>
      </c>
      <c r="J244" s="269"/>
      <c r="K244" s="269"/>
      <c r="L244" s="266"/>
      <c r="M244" s="278"/>
      <c r="N244" s="439"/>
      <c r="O244" s="269" t="s">
        <v>1048</v>
      </c>
      <c r="P244" s="269" t="s">
        <v>153</v>
      </c>
      <c r="Q244" s="269">
        <v>300</v>
      </c>
      <c r="R244" s="270">
        <v>500000</v>
      </c>
      <c r="S244" s="269">
        <v>300000</v>
      </c>
      <c r="T244" s="269">
        <f t="shared" si="22"/>
        <v>800000</v>
      </c>
      <c r="U244" s="266"/>
      <c r="V244" s="266"/>
      <c r="W244" s="266"/>
      <c r="X244" s="266"/>
      <c r="Y244" s="271">
        <v>0.35</v>
      </c>
      <c r="Z244" s="605">
        <f t="shared" si="21"/>
        <v>280000</v>
      </c>
      <c r="AA244" s="266"/>
      <c r="AB244" s="605">
        <f t="shared" si="19"/>
        <v>480000</v>
      </c>
      <c r="AC244" s="605">
        <f t="shared" si="23"/>
        <v>200000</v>
      </c>
      <c r="AD244" s="266"/>
    </row>
    <row r="245" spans="1:31" ht="31.5" x14ac:dyDescent="0.25">
      <c r="A245" s="311">
        <v>242</v>
      </c>
      <c r="B245" s="22">
        <v>43891</v>
      </c>
      <c r="C245" s="148" t="s">
        <v>3128</v>
      </c>
      <c r="D245" s="148"/>
      <c r="E245" s="148"/>
      <c r="F245" s="153" t="s">
        <v>3127</v>
      </c>
      <c r="G245" s="10"/>
      <c r="H245" s="101" t="s">
        <v>3130</v>
      </c>
      <c r="I245" s="148" t="s">
        <v>3129</v>
      </c>
      <c r="J245" s="10" t="s">
        <v>3135</v>
      </c>
      <c r="K245" s="10"/>
      <c r="L245" s="19"/>
      <c r="M245" s="13"/>
      <c r="N245" s="249"/>
      <c r="O245" s="19" t="s">
        <v>299</v>
      </c>
      <c r="P245" s="19" t="s">
        <v>153</v>
      </c>
      <c r="Q245" s="19">
        <v>500</v>
      </c>
      <c r="R245" s="13">
        <v>500000</v>
      </c>
      <c r="S245" s="19">
        <v>425000</v>
      </c>
      <c r="T245" s="19">
        <f t="shared" si="22"/>
        <v>925000</v>
      </c>
      <c r="U245" s="19"/>
      <c r="V245" s="19"/>
      <c r="W245" s="19"/>
      <c r="X245" s="19"/>
      <c r="Y245" s="165">
        <v>0.3</v>
      </c>
      <c r="Z245" s="376">
        <f t="shared" si="21"/>
        <v>277500</v>
      </c>
      <c r="AA245" s="19"/>
      <c r="AB245" s="376">
        <f t="shared" si="19"/>
        <v>555000</v>
      </c>
      <c r="AC245" s="376">
        <f t="shared" si="23"/>
        <v>277500</v>
      </c>
      <c r="AD245" s="19" t="s">
        <v>3877</v>
      </c>
      <c r="AE245" s="23">
        <f>Z245+Z246</f>
        <v>555000</v>
      </c>
    </row>
    <row r="246" spans="1:31" ht="47.25" x14ac:dyDescent="0.25">
      <c r="A246" s="113">
        <v>243</v>
      </c>
      <c r="B246" s="22">
        <v>43891</v>
      </c>
      <c r="C246" s="148" t="s">
        <v>3132</v>
      </c>
      <c r="D246" s="148"/>
      <c r="E246" s="148"/>
      <c r="F246" s="153" t="s">
        <v>3131</v>
      </c>
      <c r="G246" s="10"/>
      <c r="H246" s="101" t="s">
        <v>3134</v>
      </c>
      <c r="I246" s="148" t="s">
        <v>3133</v>
      </c>
      <c r="J246" s="10" t="s">
        <v>3135</v>
      </c>
      <c r="K246" s="10"/>
      <c r="L246" s="19"/>
      <c r="M246" s="13"/>
      <c r="N246" s="249"/>
      <c r="O246" s="19" t="s">
        <v>299</v>
      </c>
      <c r="P246" s="19" t="s">
        <v>153</v>
      </c>
      <c r="Q246" s="19">
        <v>500</v>
      </c>
      <c r="R246" s="13">
        <v>500000</v>
      </c>
      <c r="S246" s="19">
        <v>425000</v>
      </c>
      <c r="T246" s="19">
        <f t="shared" si="22"/>
        <v>925000</v>
      </c>
      <c r="U246" s="19"/>
      <c r="V246" s="19"/>
      <c r="W246" s="19"/>
      <c r="X246" s="19"/>
      <c r="Y246" s="165">
        <v>0.3</v>
      </c>
      <c r="Z246" s="376">
        <f t="shared" si="21"/>
        <v>277500</v>
      </c>
      <c r="AA246" s="19"/>
      <c r="AB246" s="376">
        <f t="shared" si="19"/>
        <v>555000</v>
      </c>
      <c r="AC246" s="376">
        <f t="shared" si="23"/>
        <v>277500</v>
      </c>
      <c r="AD246" s="19"/>
    </row>
    <row r="247" spans="1:31" s="36" customFormat="1" ht="47.25" x14ac:dyDescent="0.25">
      <c r="A247" s="74">
        <v>244</v>
      </c>
      <c r="B247" s="70">
        <v>43891</v>
      </c>
      <c r="C247" s="134" t="s">
        <v>3140</v>
      </c>
      <c r="D247" s="134" t="s">
        <v>510</v>
      </c>
      <c r="E247" s="134"/>
      <c r="F247" s="379" t="s">
        <v>3139</v>
      </c>
      <c r="G247" s="269"/>
      <c r="H247" s="379" t="s">
        <v>353</v>
      </c>
      <c r="I247" s="134" t="s">
        <v>3141</v>
      </c>
      <c r="J247" s="78" t="s">
        <v>201</v>
      </c>
      <c r="K247" s="78"/>
      <c r="L247" s="18"/>
      <c r="M247" s="278"/>
      <c r="N247" s="559"/>
      <c r="O247" s="18" t="s">
        <v>299</v>
      </c>
      <c r="P247" s="18" t="s">
        <v>153</v>
      </c>
      <c r="Q247" s="18">
        <v>500</v>
      </c>
      <c r="R247" s="333">
        <v>500000</v>
      </c>
      <c r="S247" s="18">
        <v>425000</v>
      </c>
      <c r="T247" s="18">
        <f t="shared" si="22"/>
        <v>925000</v>
      </c>
      <c r="U247" s="266"/>
      <c r="V247" s="266"/>
      <c r="W247" s="266"/>
      <c r="X247" s="266"/>
      <c r="Y247" s="87">
        <v>0.3</v>
      </c>
      <c r="Z247" s="414">
        <f t="shared" si="21"/>
        <v>277500</v>
      </c>
      <c r="AA247" s="18"/>
      <c r="AB247" s="414">
        <f t="shared" si="19"/>
        <v>555000</v>
      </c>
      <c r="AC247" s="414">
        <f t="shared" si="23"/>
        <v>277500</v>
      </c>
      <c r="AD247" s="18" t="s">
        <v>3247</v>
      </c>
    </row>
    <row r="248" spans="1:31" s="36" customFormat="1" ht="47.25" x14ac:dyDescent="0.25">
      <c r="A248" s="311">
        <v>245</v>
      </c>
      <c r="B248" s="70">
        <v>43891</v>
      </c>
      <c r="C248" s="134" t="s">
        <v>3142</v>
      </c>
      <c r="D248" s="134" t="s">
        <v>510</v>
      </c>
      <c r="E248" s="134"/>
      <c r="F248" s="379" t="s">
        <v>3143</v>
      </c>
      <c r="G248" s="269"/>
      <c r="H248" s="379" t="s">
        <v>353</v>
      </c>
      <c r="I248" s="134" t="s">
        <v>3144</v>
      </c>
      <c r="J248" s="78" t="s">
        <v>201</v>
      </c>
      <c r="K248" s="78"/>
      <c r="L248" s="18"/>
      <c r="M248" s="278"/>
      <c r="N248" s="559"/>
      <c r="O248" s="18" t="s">
        <v>299</v>
      </c>
      <c r="P248" s="18" t="s">
        <v>153</v>
      </c>
      <c r="Q248" s="18">
        <v>500</v>
      </c>
      <c r="R248" s="333">
        <v>500000</v>
      </c>
      <c r="S248" s="18">
        <v>425000</v>
      </c>
      <c r="T248" s="18">
        <f t="shared" si="22"/>
        <v>925000</v>
      </c>
      <c r="U248" s="266"/>
      <c r="V248" s="266"/>
      <c r="W248" s="266"/>
      <c r="X248" s="266"/>
      <c r="Y248" s="87">
        <v>0.3</v>
      </c>
      <c r="Z248" s="414">
        <f t="shared" si="21"/>
        <v>277500</v>
      </c>
      <c r="AA248" s="18"/>
      <c r="AB248" s="414">
        <f t="shared" si="19"/>
        <v>555000</v>
      </c>
      <c r="AC248" s="414">
        <f t="shared" si="23"/>
        <v>277500</v>
      </c>
      <c r="AD248" s="18" t="s">
        <v>3247</v>
      </c>
    </row>
    <row r="249" spans="1:31" s="36" customFormat="1" ht="47.25" x14ac:dyDescent="0.25">
      <c r="A249" s="113">
        <v>246</v>
      </c>
      <c r="B249" s="70">
        <v>43891</v>
      </c>
      <c r="C249" s="134" t="s">
        <v>688</v>
      </c>
      <c r="D249" s="134" t="s">
        <v>510</v>
      </c>
      <c r="E249" s="134"/>
      <c r="F249" s="487" t="s">
        <v>692</v>
      </c>
      <c r="G249" s="269"/>
      <c r="H249" s="379" t="s">
        <v>199</v>
      </c>
      <c r="I249" s="134" t="s">
        <v>3145</v>
      </c>
      <c r="J249" s="78" t="s">
        <v>201</v>
      </c>
      <c r="K249" s="78"/>
      <c r="L249" s="18"/>
      <c r="M249" s="278"/>
      <c r="N249" s="559"/>
      <c r="O249" s="18" t="s">
        <v>299</v>
      </c>
      <c r="P249" s="18" t="s">
        <v>153</v>
      </c>
      <c r="Q249" s="18">
        <v>500</v>
      </c>
      <c r="R249" s="333">
        <v>500000</v>
      </c>
      <c r="S249" s="18">
        <v>425000</v>
      </c>
      <c r="T249" s="18">
        <f t="shared" si="22"/>
        <v>925000</v>
      </c>
      <c r="U249" s="266"/>
      <c r="V249" s="266"/>
      <c r="W249" s="266"/>
      <c r="X249" s="266"/>
      <c r="Y249" s="87">
        <v>0.3</v>
      </c>
      <c r="Z249" s="414">
        <f t="shared" si="21"/>
        <v>277500</v>
      </c>
      <c r="AA249" s="18"/>
      <c r="AB249" s="414">
        <f t="shared" si="19"/>
        <v>555000</v>
      </c>
      <c r="AC249" s="414">
        <f t="shared" si="23"/>
        <v>277500</v>
      </c>
      <c r="AD249" s="18" t="s">
        <v>3247</v>
      </c>
    </row>
    <row r="250" spans="1:31" s="36" customFormat="1" ht="47.25" x14ac:dyDescent="0.25">
      <c r="A250" s="74">
        <v>247</v>
      </c>
      <c r="B250" s="70">
        <v>43891</v>
      </c>
      <c r="C250" s="134" t="s">
        <v>689</v>
      </c>
      <c r="D250" s="134" t="s">
        <v>510</v>
      </c>
      <c r="E250" s="134"/>
      <c r="F250" s="487" t="s">
        <v>693</v>
      </c>
      <c r="G250" s="269"/>
      <c r="H250" s="379" t="s">
        <v>199</v>
      </c>
      <c r="I250" s="134" t="s">
        <v>3146</v>
      </c>
      <c r="J250" s="78" t="s">
        <v>201</v>
      </c>
      <c r="K250" s="78"/>
      <c r="L250" s="18"/>
      <c r="M250" s="278"/>
      <c r="N250" s="559"/>
      <c r="O250" s="18" t="s">
        <v>299</v>
      </c>
      <c r="P250" s="18" t="s">
        <v>153</v>
      </c>
      <c r="Q250" s="18">
        <v>500</v>
      </c>
      <c r="R250" s="333">
        <v>500000</v>
      </c>
      <c r="S250" s="18">
        <v>425000</v>
      </c>
      <c r="T250" s="18">
        <f t="shared" si="22"/>
        <v>925000</v>
      </c>
      <c r="U250" s="266"/>
      <c r="V250" s="266"/>
      <c r="W250" s="266"/>
      <c r="X250" s="266"/>
      <c r="Y250" s="87">
        <v>0.3</v>
      </c>
      <c r="Z250" s="414">
        <f t="shared" si="21"/>
        <v>277500</v>
      </c>
      <c r="AA250" s="18"/>
      <c r="AB250" s="414">
        <f t="shared" ref="AB250:AB313" si="24">T250*0.6</f>
        <v>555000</v>
      </c>
      <c r="AC250" s="414">
        <f t="shared" si="23"/>
        <v>277500</v>
      </c>
      <c r="AD250" s="18" t="s">
        <v>3247</v>
      </c>
    </row>
    <row r="251" spans="1:31" s="272" customFormat="1" ht="47.25" x14ac:dyDescent="0.25">
      <c r="A251" s="311">
        <v>248</v>
      </c>
      <c r="B251" s="373">
        <v>43922</v>
      </c>
      <c r="C251" s="358" t="s">
        <v>3176</v>
      </c>
      <c r="D251" s="358" t="s">
        <v>3047</v>
      </c>
      <c r="E251" s="358"/>
      <c r="F251" s="335" t="s">
        <v>3175</v>
      </c>
      <c r="G251" s="269"/>
      <c r="H251" s="335" t="s">
        <v>273</v>
      </c>
      <c r="I251" s="358" t="s">
        <v>3177</v>
      </c>
      <c r="J251" s="269"/>
      <c r="K251" s="269"/>
      <c r="L251" s="266"/>
      <c r="M251" s="278"/>
      <c r="N251" s="439"/>
      <c r="O251" s="269" t="s">
        <v>1048</v>
      </c>
      <c r="P251" s="269" t="s">
        <v>153</v>
      </c>
      <c r="Q251" s="269">
        <v>300</v>
      </c>
      <c r="R251" s="270">
        <v>500000</v>
      </c>
      <c r="S251" s="269">
        <v>300000</v>
      </c>
      <c r="T251" s="269">
        <f t="shared" si="22"/>
        <v>800000</v>
      </c>
      <c r="U251" s="266"/>
      <c r="V251" s="266"/>
      <c r="W251" s="266"/>
      <c r="X251" s="266"/>
      <c r="Y251" s="271">
        <v>0.35</v>
      </c>
      <c r="Z251" s="605">
        <f t="shared" si="21"/>
        <v>280000</v>
      </c>
      <c r="AA251" s="266"/>
      <c r="AB251" s="605">
        <f t="shared" si="24"/>
        <v>480000</v>
      </c>
      <c r="AC251" s="605">
        <f t="shared" si="23"/>
        <v>200000</v>
      </c>
      <c r="AD251" s="266"/>
    </row>
    <row r="252" spans="1:31" s="272" customFormat="1" ht="47.25" x14ac:dyDescent="0.25">
      <c r="A252" s="113">
        <v>249</v>
      </c>
      <c r="B252" s="373">
        <v>43922</v>
      </c>
      <c r="C252" s="358" t="s">
        <v>3178</v>
      </c>
      <c r="D252" s="358" t="s">
        <v>2953</v>
      </c>
      <c r="E252" s="358"/>
      <c r="F252" s="449" t="s">
        <v>3179</v>
      </c>
      <c r="G252" s="269"/>
      <c r="H252" s="335" t="s">
        <v>273</v>
      </c>
      <c r="I252" s="358" t="s">
        <v>3180</v>
      </c>
      <c r="J252" s="269"/>
      <c r="K252" s="269"/>
      <c r="L252" s="266"/>
      <c r="M252" s="278"/>
      <c r="N252" s="439"/>
      <c r="O252" s="269" t="s">
        <v>1048</v>
      </c>
      <c r="P252" s="269" t="s">
        <v>153</v>
      </c>
      <c r="Q252" s="269">
        <v>300</v>
      </c>
      <c r="R252" s="270">
        <v>500000</v>
      </c>
      <c r="S252" s="269">
        <v>300000</v>
      </c>
      <c r="T252" s="269">
        <f t="shared" si="22"/>
        <v>800000</v>
      </c>
      <c r="U252" s="266"/>
      <c r="V252" s="266"/>
      <c r="W252" s="266"/>
      <c r="X252" s="266"/>
      <c r="Y252" s="271">
        <v>0.35</v>
      </c>
      <c r="Z252" s="605">
        <f t="shared" si="21"/>
        <v>280000</v>
      </c>
      <c r="AA252" s="266"/>
      <c r="AB252" s="605">
        <f t="shared" si="24"/>
        <v>480000</v>
      </c>
      <c r="AC252" s="605">
        <f t="shared" si="23"/>
        <v>200000</v>
      </c>
      <c r="AD252" s="266"/>
    </row>
    <row r="253" spans="1:31" s="272" customFormat="1" ht="63" x14ac:dyDescent="0.25">
      <c r="A253" s="74">
        <v>250</v>
      </c>
      <c r="B253" s="544">
        <v>44044</v>
      </c>
      <c r="C253" s="545" t="s">
        <v>3156</v>
      </c>
      <c r="D253" s="545" t="s">
        <v>2065</v>
      </c>
      <c r="E253" s="545"/>
      <c r="F253" s="546" t="s">
        <v>3158</v>
      </c>
      <c r="G253" s="507"/>
      <c r="H253" s="546" t="s">
        <v>1639</v>
      </c>
      <c r="I253" s="545" t="s">
        <v>3157</v>
      </c>
      <c r="J253" s="507" t="s">
        <v>3181</v>
      </c>
      <c r="K253" s="507"/>
      <c r="L253" s="506"/>
      <c r="M253" s="547"/>
      <c r="N253" s="548"/>
      <c r="O253" s="507" t="s">
        <v>1048</v>
      </c>
      <c r="P253" s="507" t="s">
        <v>153</v>
      </c>
      <c r="Q253" s="507">
        <v>300</v>
      </c>
      <c r="R253" s="549">
        <v>500000</v>
      </c>
      <c r="S253" s="507">
        <v>300000</v>
      </c>
      <c r="T253" s="507">
        <f t="shared" ref="T253:T273" si="25">R253+S253</f>
        <v>800000</v>
      </c>
      <c r="U253" s="506"/>
      <c r="V253" s="506"/>
      <c r="W253" s="506"/>
      <c r="X253" s="506"/>
      <c r="Y253" s="557">
        <v>0.4</v>
      </c>
      <c r="Z253" s="608">
        <f t="shared" si="21"/>
        <v>320000</v>
      </c>
      <c r="AA253" s="506"/>
      <c r="AB253" s="608">
        <f t="shared" si="24"/>
        <v>480000</v>
      </c>
      <c r="AC253" s="608">
        <f t="shared" si="23"/>
        <v>160000</v>
      </c>
      <c r="AD253" s="506"/>
    </row>
    <row r="254" spans="1:31" s="266" customFormat="1" ht="47.25" x14ac:dyDescent="0.25">
      <c r="A254" s="311">
        <v>251</v>
      </c>
      <c r="B254" s="428">
        <v>44044</v>
      </c>
      <c r="C254" s="431" t="s">
        <v>3185</v>
      </c>
      <c r="D254" s="358" t="s">
        <v>2953</v>
      </c>
      <c r="E254" s="358"/>
      <c r="F254" s="483" t="s">
        <v>3186</v>
      </c>
      <c r="G254" s="269"/>
      <c r="H254" s="335" t="s">
        <v>273</v>
      </c>
      <c r="I254" s="358" t="s">
        <v>3187</v>
      </c>
      <c r="J254" s="269"/>
      <c r="K254" s="269"/>
      <c r="M254" s="278"/>
      <c r="N254" s="439"/>
      <c r="O254" s="507" t="s">
        <v>1048</v>
      </c>
      <c r="P254" s="507" t="s">
        <v>153</v>
      </c>
      <c r="Q254" s="507">
        <v>300</v>
      </c>
      <c r="R254" s="549">
        <v>500000</v>
      </c>
      <c r="S254" s="507">
        <v>300000</v>
      </c>
      <c r="T254" s="507">
        <f t="shared" si="25"/>
        <v>800000</v>
      </c>
      <c r="Y254" s="271">
        <v>0.35</v>
      </c>
      <c r="Z254" s="605">
        <f t="shared" si="21"/>
        <v>280000</v>
      </c>
      <c r="AB254" s="605">
        <f t="shared" si="24"/>
        <v>480000</v>
      </c>
      <c r="AC254" s="605">
        <f t="shared" si="23"/>
        <v>200000</v>
      </c>
    </row>
    <row r="255" spans="1:31" s="272" customFormat="1" ht="63" x14ac:dyDescent="0.25">
      <c r="A255" s="113">
        <v>252</v>
      </c>
      <c r="B255" s="550">
        <v>44044</v>
      </c>
      <c r="C255" s="448" t="s">
        <v>3193</v>
      </c>
      <c r="D255" s="448"/>
      <c r="E255" s="448"/>
      <c r="F255" s="551" t="s">
        <v>3194</v>
      </c>
      <c r="G255" s="552"/>
      <c r="H255" s="551" t="s">
        <v>1639</v>
      </c>
      <c r="I255" s="553" t="s">
        <v>3195</v>
      </c>
      <c r="J255" s="552" t="s">
        <v>3196</v>
      </c>
      <c r="K255" s="552"/>
      <c r="L255" s="554"/>
      <c r="M255" s="555"/>
      <c r="N255" s="556"/>
      <c r="O255" s="269" t="s">
        <v>1855</v>
      </c>
      <c r="P255" s="269" t="s">
        <v>278</v>
      </c>
      <c r="Q255" s="269">
        <v>1000</v>
      </c>
      <c r="R255" s="270">
        <v>500000</v>
      </c>
      <c r="S255" s="269">
        <v>675000</v>
      </c>
      <c r="T255" s="269">
        <f t="shared" si="25"/>
        <v>1175000</v>
      </c>
      <c r="U255" s="554"/>
      <c r="V255" s="554"/>
      <c r="W255" s="554"/>
      <c r="X255" s="554"/>
      <c r="Y255" s="558">
        <v>0.35</v>
      </c>
      <c r="Z255" s="609">
        <f t="shared" si="21"/>
        <v>411250</v>
      </c>
      <c r="AA255" s="554"/>
      <c r="AB255" s="609">
        <f t="shared" si="24"/>
        <v>705000</v>
      </c>
      <c r="AC255" s="609">
        <f t="shared" si="23"/>
        <v>293750</v>
      </c>
      <c r="AD255" s="554"/>
    </row>
    <row r="256" spans="1:31" s="272" customFormat="1" ht="63" x14ac:dyDescent="0.25">
      <c r="A256" s="74">
        <v>253</v>
      </c>
      <c r="B256" s="373">
        <v>44105</v>
      </c>
      <c r="C256" s="358" t="s">
        <v>3197</v>
      </c>
      <c r="D256" s="358"/>
      <c r="E256" s="358"/>
      <c r="F256" s="449" t="s">
        <v>3198</v>
      </c>
      <c r="G256" s="269"/>
      <c r="H256" s="335" t="s">
        <v>327</v>
      </c>
      <c r="I256" s="358" t="s">
        <v>3199</v>
      </c>
      <c r="J256" s="269" t="s">
        <v>3200</v>
      </c>
      <c r="K256" s="269"/>
      <c r="L256" s="266"/>
      <c r="M256" s="278"/>
      <c r="N256" s="439"/>
      <c r="O256" s="507" t="s">
        <v>1048</v>
      </c>
      <c r="P256" s="507" t="s">
        <v>153</v>
      </c>
      <c r="Q256" s="507">
        <v>300</v>
      </c>
      <c r="R256" s="549">
        <v>500000</v>
      </c>
      <c r="S256" s="507">
        <v>300000</v>
      </c>
      <c r="T256" s="507">
        <f t="shared" si="25"/>
        <v>800000</v>
      </c>
      <c r="U256" s="266"/>
      <c r="V256" s="266"/>
      <c r="W256" s="266"/>
      <c r="X256" s="266"/>
      <c r="Y256" s="271">
        <v>0.35</v>
      </c>
      <c r="Z256" s="605">
        <f t="shared" si="21"/>
        <v>280000</v>
      </c>
      <c r="AA256" s="266"/>
      <c r="AB256" s="605">
        <f t="shared" si="24"/>
        <v>480000</v>
      </c>
      <c r="AC256" s="605">
        <f t="shared" si="23"/>
        <v>200000</v>
      </c>
      <c r="AD256" s="266"/>
    </row>
    <row r="257" spans="1:31" ht="47.25" x14ac:dyDescent="0.25">
      <c r="A257" s="311">
        <v>254</v>
      </c>
      <c r="B257" s="22">
        <v>44105</v>
      </c>
      <c r="C257" s="148" t="s">
        <v>3201</v>
      </c>
      <c r="D257" s="148" t="s">
        <v>2065</v>
      </c>
      <c r="E257" s="148"/>
      <c r="F257" s="153" t="s">
        <v>3202</v>
      </c>
      <c r="G257" s="10"/>
      <c r="H257" s="101" t="s">
        <v>448</v>
      </c>
      <c r="I257" s="148" t="s">
        <v>3203</v>
      </c>
      <c r="J257" s="10"/>
      <c r="K257" s="10"/>
      <c r="L257" s="19"/>
      <c r="M257" s="13"/>
      <c r="N257" s="249"/>
      <c r="O257" s="19" t="s">
        <v>398</v>
      </c>
      <c r="P257" s="19" t="s">
        <v>278</v>
      </c>
      <c r="Q257" s="19">
        <v>5000</v>
      </c>
      <c r="R257" s="13">
        <v>500000</v>
      </c>
      <c r="S257" s="19">
        <v>2250000</v>
      </c>
      <c r="T257" s="19">
        <f t="shared" si="25"/>
        <v>2750000</v>
      </c>
      <c r="U257" s="19"/>
      <c r="V257" s="19"/>
      <c r="W257" s="19"/>
      <c r="X257" s="19"/>
      <c r="Y257" s="165">
        <v>0.4</v>
      </c>
      <c r="Z257" s="376">
        <f t="shared" si="21"/>
        <v>1100000</v>
      </c>
      <c r="AA257" s="19"/>
      <c r="AB257" s="376">
        <f t="shared" si="24"/>
        <v>1650000</v>
      </c>
      <c r="AC257" s="376">
        <f t="shared" si="23"/>
        <v>550000</v>
      </c>
      <c r="AD257" s="19" t="s">
        <v>663</v>
      </c>
    </row>
    <row r="258" spans="1:31" s="36" customFormat="1" ht="47.25" x14ac:dyDescent="0.25">
      <c r="A258" s="113">
        <v>255</v>
      </c>
      <c r="B258" s="70">
        <v>44105</v>
      </c>
      <c r="C258" s="134" t="s">
        <v>3206</v>
      </c>
      <c r="D258" s="134" t="s">
        <v>3205</v>
      </c>
      <c r="E258" s="134" t="s">
        <v>866</v>
      </c>
      <c r="F258" s="487" t="s">
        <v>3204</v>
      </c>
      <c r="G258" s="78"/>
      <c r="H258" s="379" t="s">
        <v>199</v>
      </c>
      <c r="I258" s="134" t="s">
        <v>3207</v>
      </c>
      <c r="J258" s="78" t="s">
        <v>3208</v>
      </c>
      <c r="K258" s="78"/>
      <c r="L258" s="18"/>
      <c r="M258" s="333"/>
      <c r="N258" s="559"/>
      <c r="O258" s="18" t="s">
        <v>1422</v>
      </c>
      <c r="P258" s="18" t="s">
        <v>278</v>
      </c>
      <c r="Q258" s="18">
        <v>2000</v>
      </c>
      <c r="R258" s="333">
        <v>500000</v>
      </c>
      <c r="S258" s="18">
        <v>1100000</v>
      </c>
      <c r="T258" s="18">
        <f t="shared" si="25"/>
        <v>1600000</v>
      </c>
      <c r="U258" s="18"/>
      <c r="V258" s="18"/>
      <c r="W258" s="18"/>
      <c r="X258" s="18"/>
      <c r="Y258" s="87">
        <v>0.2</v>
      </c>
      <c r="Z258" s="414">
        <f t="shared" si="21"/>
        <v>320000</v>
      </c>
      <c r="AA258" s="18"/>
      <c r="AB258" s="414">
        <f t="shared" si="24"/>
        <v>960000</v>
      </c>
      <c r="AC258" s="414">
        <f t="shared" si="23"/>
        <v>640000</v>
      </c>
      <c r="AD258" s="18"/>
      <c r="AE258" s="36">
        <f>T258*5%</f>
        <v>80000</v>
      </c>
    </row>
    <row r="259" spans="1:31" ht="47.25" x14ac:dyDescent="0.25">
      <c r="A259" s="74">
        <v>256</v>
      </c>
      <c r="B259" s="19" t="s">
        <v>3225</v>
      </c>
      <c r="C259" s="148" t="s">
        <v>3230</v>
      </c>
      <c r="D259" s="148" t="s">
        <v>3024</v>
      </c>
      <c r="E259" s="148"/>
      <c r="F259" s="101" t="s">
        <v>3221</v>
      </c>
      <c r="G259" s="10"/>
      <c r="H259" s="101" t="s">
        <v>1639</v>
      </c>
      <c r="I259" s="148" t="s">
        <v>3231</v>
      </c>
      <c r="J259" s="10" t="s">
        <v>450</v>
      </c>
      <c r="K259" s="10"/>
      <c r="L259" s="19"/>
      <c r="M259" s="13"/>
      <c r="N259" s="249"/>
      <c r="O259" s="356" t="s">
        <v>1048</v>
      </c>
      <c r="P259" s="356" t="s">
        <v>153</v>
      </c>
      <c r="Q259" s="356">
        <v>300</v>
      </c>
      <c r="R259" s="350">
        <v>500000</v>
      </c>
      <c r="S259" s="356">
        <v>300000</v>
      </c>
      <c r="T259" s="356">
        <f t="shared" si="25"/>
        <v>800000</v>
      </c>
      <c r="U259" s="19"/>
      <c r="V259" s="19"/>
      <c r="W259" s="19"/>
      <c r="X259" s="19"/>
      <c r="Y259" s="165">
        <v>0.4</v>
      </c>
      <c r="Z259" s="376">
        <f t="shared" si="21"/>
        <v>320000</v>
      </c>
      <c r="AA259" s="19"/>
      <c r="AB259" s="376">
        <f t="shared" si="24"/>
        <v>480000</v>
      </c>
      <c r="AC259" s="376">
        <f t="shared" si="23"/>
        <v>160000</v>
      </c>
      <c r="AD259" s="19" t="s">
        <v>3395</v>
      </c>
    </row>
    <row r="260" spans="1:31" ht="47.25" x14ac:dyDescent="0.25">
      <c r="A260" s="311">
        <v>257</v>
      </c>
      <c r="B260" s="19" t="s">
        <v>3233</v>
      </c>
      <c r="C260" s="148" t="s">
        <v>3234</v>
      </c>
      <c r="D260" s="148" t="s">
        <v>866</v>
      </c>
      <c r="E260" s="148"/>
      <c r="F260" s="101" t="s">
        <v>3236</v>
      </c>
      <c r="G260" s="10"/>
      <c r="H260" s="101" t="s">
        <v>1772</v>
      </c>
      <c r="I260" s="148" t="s">
        <v>3235</v>
      </c>
      <c r="J260" s="10"/>
      <c r="K260" s="10"/>
      <c r="L260" s="19"/>
      <c r="M260" s="13"/>
      <c r="N260" s="249"/>
      <c r="O260" s="356" t="s">
        <v>1048</v>
      </c>
      <c r="P260" s="356" t="s">
        <v>153</v>
      </c>
      <c r="Q260" s="356">
        <v>300</v>
      </c>
      <c r="R260" s="350">
        <v>500000</v>
      </c>
      <c r="S260" s="356">
        <v>300000</v>
      </c>
      <c r="T260" s="356">
        <f t="shared" si="25"/>
        <v>800000</v>
      </c>
      <c r="U260" s="19"/>
      <c r="V260" s="19"/>
      <c r="W260" s="19"/>
      <c r="X260" s="19"/>
      <c r="Y260" s="165">
        <v>0.35</v>
      </c>
      <c r="Z260" s="376">
        <f t="shared" si="21"/>
        <v>280000</v>
      </c>
      <c r="AA260" s="19"/>
      <c r="AB260" s="376">
        <f t="shared" si="24"/>
        <v>480000</v>
      </c>
      <c r="AC260" s="376">
        <f t="shared" si="23"/>
        <v>200000</v>
      </c>
      <c r="AD260" s="19" t="s">
        <v>1746</v>
      </c>
      <c r="AE260" s="23">
        <f>T260*5%</f>
        <v>40000</v>
      </c>
    </row>
    <row r="261" spans="1:31" s="272" customFormat="1" ht="47.25" x14ac:dyDescent="0.25">
      <c r="A261" s="113">
        <v>258</v>
      </c>
      <c r="B261" s="266" t="s">
        <v>3275</v>
      </c>
      <c r="C261" s="358" t="s">
        <v>3274</v>
      </c>
      <c r="D261" s="358"/>
      <c r="E261" s="358"/>
      <c r="F261" s="335" t="s">
        <v>3273</v>
      </c>
      <c r="G261" s="269"/>
      <c r="H261" s="335" t="s">
        <v>273</v>
      </c>
      <c r="I261" s="358" t="s">
        <v>3276</v>
      </c>
      <c r="J261" s="269"/>
      <c r="K261" s="269"/>
      <c r="L261" s="266"/>
      <c r="M261" s="278"/>
      <c r="N261" s="439"/>
      <c r="O261" s="507" t="s">
        <v>1048</v>
      </c>
      <c r="P261" s="507" t="s">
        <v>153</v>
      </c>
      <c r="Q261" s="507">
        <v>300</v>
      </c>
      <c r="R261" s="549">
        <v>500000</v>
      </c>
      <c r="S261" s="507">
        <v>300000</v>
      </c>
      <c r="T261" s="507">
        <f t="shared" si="25"/>
        <v>800000</v>
      </c>
      <c r="U261" s="266"/>
      <c r="V261" s="266"/>
      <c r="W261" s="266"/>
      <c r="X261" s="266"/>
      <c r="Y261" s="271">
        <v>0.3</v>
      </c>
      <c r="Z261" s="605">
        <f t="shared" si="21"/>
        <v>240000</v>
      </c>
      <c r="AA261" s="266"/>
      <c r="AB261" s="605">
        <f t="shared" si="24"/>
        <v>480000</v>
      </c>
      <c r="AC261" s="605">
        <f t="shared" si="23"/>
        <v>240000</v>
      </c>
      <c r="AD261" s="266"/>
    </row>
    <row r="262" spans="1:31" ht="47.25" x14ac:dyDescent="0.25">
      <c r="A262" s="74">
        <v>259</v>
      </c>
      <c r="B262" s="19" t="s">
        <v>3275</v>
      </c>
      <c r="C262" s="148" t="s">
        <v>3277</v>
      </c>
      <c r="D262" s="148" t="s">
        <v>562</v>
      </c>
      <c r="E262" s="148"/>
      <c r="F262" s="153" t="s">
        <v>3278</v>
      </c>
      <c r="G262" s="10"/>
      <c r="H262" s="101" t="s">
        <v>168</v>
      </c>
      <c r="I262" s="148" t="s">
        <v>3279</v>
      </c>
      <c r="J262" s="10"/>
      <c r="K262" s="10"/>
      <c r="L262" s="19"/>
      <c r="M262" s="13"/>
      <c r="N262" s="249"/>
      <c r="O262" s="19" t="s">
        <v>299</v>
      </c>
      <c r="P262" s="19" t="s">
        <v>153</v>
      </c>
      <c r="Q262" s="19">
        <v>500</v>
      </c>
      <c r="R262" s="13">
        <v>500000</v>
      </c>
      <c r="S262" s="19">
        <v>425000</v>
      </c>
      <c r="T262" s="19">
        <f t="shared" si="25"/>
        <v>925000</v>
      </c>
      <c r="U262" s="19"/>
      <c r="V262" s="19"/>
      <c r="W262" s="19"/>
      <c r="X262" s="19"/>
      <c r="Y262" s="165">
        <v>0.4</v>
      </c>
      <c r="Z262" s="376">
        <f t="shared" si="21"/>
        <v>370000</v>
      </c>
      <c r="AA262" s="19"/>
      <c r="AB262" s="376">
        <f t="shared" si="24"/>
        <v>555000</v>
      </c>
      <c r="AC262" s="376">
        <f t="shared" si="23"/>
        <v>185000</v>
      </c>
      <c r="AD262" s="19" t="s">
        <v>3317</v>
      </c>
    </row>
    <row r="263" spans="1:31" ht="47.25" x14ac:dyDescent="0.25">
      <c r="A263" s="311">
        <v>260</v>
      </c>
      <c r="B263" s="19" t="s">
        <v>3275</v>
      </c>
      <c r="C263" s="148" t="s">
        <v>3280</v>
      </c>
      <c r="D263" s="148" t="s">
        <v>2324</v>
      </c>
      <c r="E263" s="148"/>
      <c r="F263" s="101" t="s">
        <v>3281</v>
      </c>
      <c r="G263" s="10"/>
      <c r="H263" s="101" t="s">
        <v>273</v>
      </c>
      <c r="I263" s="148" t="s">
        <v>3282</v>
      </c>
      <c r="J263" s="10"/>
      <c r="K263" s="10"/>
      <c r="L263" s="19"/>
      <c r="M263" s="13"/>
      <c r="N263" s="249"/>
      <c r="O263" s="356" t="s">
        <v>1048</v>
      </c>
      <c r="P263" s="356" t="s">
        <v>153</v>
      </c>
      <c r="Q263" s="356">
        <v>300</v>
      </c>
      <c r="R263" s="350">
        <v>500000</v>
      </c>
      <c r="S263" s="356">
        <v>300000</v>
      </c>
      <c r="T263" s="356">
        <f t="shared" si="25"/>
        <v>800000</v>
      </c>
      <c r="U263" s="19"/>
      <c r="V263" s="19"/>
      <c r="W263" s="19"/>
      <c r="X263" s="19"/>
      <c r="Y263" s="165">
        <v>0.35</v>
      </c>
      <c r="Z263" s="376">
        <f>T263*Y263</f>
        <v>280000</v>
      </c>
      <c r="AA263" s="19"/>
      <c r="AB263" s="376">
        <f t="shared" si="24"/>
        <v>480000</v>
      </c>
      <c r="AC263" s="376">
        <f>AB263-Z263</f>
        <v>200000</v>
      </c>
      <c r="AD263" s="19"/>
    </row>
    <row r="264" spans="1:31" ht="47.25" x14ac:dyDescent="0.25">
      <c r="A264" s="113">
        <v>261</v>
      </c>
      <c r="B264" s="19" t="s">
        <v>3275</v>
      </c>
      <c r="C264" s="148" t="s">
        <v>3283</v>
      </c>
      <c r="D264" s="148" t="s">
        <v>3024</v>
      </c>
      <c r="E264" s="148"/>
      <c r="F264" s="101" t="s">
        <v>3284</v>
      </c>
      <c r="G264" s="10"/>
      <c r="H264" s="101" t="s">
        <v>345</v>
      </c>
      <c r="I264" s="148" t="s">
        <v>3285</v>
      </c>
      <c r="J264" s="10"/>
      <c r="K264" s="10"/>
      <c r="L264" s="19"/>
      <c r="M264" s="13"/>
      <c r="N264" s="249"/>
      <c r="O264" s="356" t="s">
        <v>1048</v>
      </c>
      <c r="P264" s="356" t="s">
        <v>153</v>
      </c>
      <c r="Q264" s="356">
        <v>300</v>
      </c>
      <c r="R264" s="350">
        <v>500000</v>
      </c>
      <c r="S264" s="356">
        <v>300000</v>
      </c>
      <c r="T264" s="356">
        <f t="shared" si="25"/>
        <v>800000</v>
      </c>
      <c r="U264" s="19"/>
      <c r="V264" s="19"/>
      <c r="W264" s="19"/>
      <c r="X264" s="19"/>
      <c r="Y264" s="165">
        <v>0.4</v>
      </c>
      <c r="Z264" s="376">
        <f t="shared" ref="Z264:Z269" si="26">T264*Y264</f>
        <v>320000</v>
      </c>
      <c r="AA264" s="19"/>
      <c r="AB264" s="376">
        <f t="shared" si="24"/>
        <v>480000</v>
      </c>
      <c r="AC264" s="376">
        <f t="shared" si="23"/>
        <v>160000</v>
      </c>
      <c r="AD264" s="19" t="s">
        <v>1641</v>
      </c>
    </row>
    <row r="265" spans="1:31" ht="47.25" x14ac:dyDescent="0.25">
      <c r="A265" s="74">
        <v>262</v>
      </c>
      <c r="B265" s="19" t="s">
        <v>3267</v>
      </c>
      <c r="C265" s="148" t="s">
        <v>3286</v>
      </c>
      <c r="D265" s="148" t="s">
        <v>936</v>
      </c>
      <c r="E265" s="148" t="s">
        <v>457</v>
      </c>
      <c r="F265" s="101" t="s">
        <v>3287</v>
      </c>
      <c r="G265" s="10"/>
      <c r="H265" s="101" t="s">
        <v>3288</v>
      </c>
      <c r="I265" s="148" t="s">
        <v>3289</v>
      </c>
      <c r="J265" s="10"/>
      <c r="K265" s="10"/>
      <c r="L265" s="19"/>
      <c r="M265" s="13"/>
      <c r="N265" s="249"/>
      <c r="O265" s="356" t="s">
        <v>1048</v>
      </c>
      <c r="P265" s="356" t="s">
        <v>153</v>
      </c>
      <c r="Q265" s="356">
        <v>300</v>
      </c>
      <c r="R265" s="350">
        <v>500000</v>
      </c>
      <c r="S265" s="356">
        <v>300000</v>
      </c>
      <c r="T265" s="356">
        <f t="shared" si="25"/>
        <v>800000</v>
      </c>
      <c r="U265" s="19"/>
      <c r="V265" s="19"/>
      <c r="W265" s="19"/>
      <c r="X265" s="19"/>
      <c r="Y265" s="165">
        <v>0</v>
      </c>
      <c r="Z265" s="376">
        <f t="shared" si="26"/>
        <v>0</v>
      </c>
      <c r="AA265" s="19"/>
      <c r="AB265" s="376">
        <f t="shared" si="24"/>
        <v>480000</v>
      </c>
      <c r="AC265" s="376">
        <f t="shared" si="23"/>
        <v>480000</v>
      </c>
      <c r="AD265" s="19" t="s">
        <v>783</v>
      </c>
      <c r="AE265" s="23">
        <f>T265*5%</f>
        <v>40000</v>
      </c>
    </row>
    <row r="266" spans="1:31" ht="31.5" x14ac:dyDescent="0.25">
      <c r="A266" s="311">
        <v>263</v>
      </c>
      <c r="B266" s="19" t="s">
        <v>3267</v>
      </c>
      <c r="C266" s="148" t="s">
        <v>3290</v>
      </c>
      <c r="D266" s="148"/>
      <c r="E266" s="148"/>
      <c r="F266" s="101" t="s">
        <v>3291</v>
      </c>
      <c r="G266" s="10"/>
      <c r="H266" s="101" t="s">
        <v>1243</v>
      </c>
      <c r="I266" s="148" t="s">
        <v>3292</v>
      </c>
      <c r="J266" s="10" t="s">
        <v>3293</v>
      </c>
      <c r="K266" s="10"/>
      <c r="L266" s="19"/>
      <c r="M266" s="13"/>
      <c r="N266" s="249"/>
      <c r="O266" s="356" t="s">
        <v>1048</v>
      </c>
      <c r="P266" s="356" t="s">
        <v>153</v>
      </c>
      <c r="Q266" s="356">
        <v>300</v>
      </c>
      <c r="R266" s="350">
        <v>500000</v>
      </c>
      <c r="S266" s="356">
        <v>300000</v>
      </c>
      <c r="T266" s="356">
        <f t="shared" si="25"/>
        <v>800000</v>
      </c>
      <c r="U266" s="19"/>
      <c r="V266" s="19"/>
      <c r="W266" s="19"/>
      <c r="X266" s="19"/>
      <c r="Y266" s="165">
        <v>0</v>
      </c>
      <c r="Z266" s="376">
        <f t="shared" si="26"/>
        <v>0</v>
      </c>
      <c r="AA266" s="19"/>
      <c r="AB266" s="376">
        <f t="shared" si="24"/>
        <v>480000</v>
      </c>
      <c r="AC266" s="376">
        <f t="shared" si="23"/>
        <v>480000</v>
      </c>
      <c r="AD266" s="19" t="s">
        <v>783</v>
      </c>
    </row>
    <row r="267" spans="1:31" ht="47.25" x14ac:dyDescent="0.25">
      <c r="A267" s="113">
        <v>264</v>
      </c>
      <c r="B267" s="22">
        <v>43860</v>
      </c>
      <c r="C267" s="148" t="s">
        <v>3303</v>
      </c>
      <c r="D267" s="148" t="s">
        <v>309</v>
      </c>
      <c r="E267" s="148"/>
      <c r="F267" s="153" t="s">
        <v>3304</v>
      </c>
      <c r="G267" s="10"/>
      <c r="H267" s="101" t="s">
        <v>448</v>
      </c>
      <c r="I267" s="148" t="s">
        <v>3305</v>
      </c>
      <c r="J267" s="10"/>
      <c r="K267" s="10"/>
      <c r="L267" s="19"/>
      <c r="M267" s="13"/>
      <c r="N267" s="249"/>
      <c r="O267" s="356" t="s">
        <v>1048</v>
      </c>
      <c r="P267" s="356" t="s">
        <v>153</v>
      </c>
      <c r="Q267" s="356">
        <v>300</v>
      </c>
      <c r="R267" s="350">
        <v>500000</v>
      </c>
      <c r="S267" s="356">
        <v>300000</v>
      </c>
      <c r="T267" s="356">
        <f t="shared" si="25"/>
        <v>800000</v>
      </c>
      <c r="U267" s="19"/>
      <c r="V267" s="19"/>
      <c r="W267" s="19"/>
      <c r="X267" s="19"/>
      <c r="Y267" s="165">
        <v>0.3</v>
      </c>
      <c r="Z267" s="376">
        <f t="shared" si="26"/>
        <v>240000</v>
      </c>
      <c r="AA267" s="19"/>
      <c r="AB267" s="376">
        <f t="shared" si="24"/>
        <v>480000</v>
      </c>
      <c r="AC267" s="376">
        <f t="shared" si="23"/>
        <v>240000</v>
      </c>
      <c r="AD267" s="19"/>
    </row>
    <row r="268" spans="1:31" ht="31.5" x14ac:dyDescent="0.25">
      <c r="A268" s="74">
        <v>265</v>
      </c>
      <c r="B268" s="22">
        <v>43860</v>
      </c>
      <c r="C268" s="148" t="s">
        <v>3306</v>
      </c>
      <c r="D268" s="148" t="s">
        <v>3308</v>
      </c>
      <c r="E268" s="148"/>
      <c r="F268" s="153" t="s">
        <v>3309</v>
      </c>
      <c r="G268" s="10"/>
      <c r="H268" s="101" t="s">
        <v>1256</v>
      </c>
      <c r="I268" s="148" t="s">
        <v>3307</v>
      </c>
      <c r="J268" s="10" t="s">
        <v>3310</v>
      </c>
      <c r="K268" s="10"/>
      <c r="L268" s="19"/>
      <c r="M268" s="13"/>
      <c r="N268" s="249"/>
      <c r="O268" s="356" t="s">
        <v>1048</v>
      </c>
      <c r="P268" s="356" t="s">
        <v>153</v>
      </c>
      <c r="Q268" s="356">
        <v>300</v>
      </c>
      <c r="R268" s="350">
        <v>500000</v>
      </c>
      <c r="S268" s="356">
        <v>300000</v>
      </c>
      <c r="T268" s="356">
        <f t="shared" si="25"/>
        <v>800000</v>
      </c>
      <c r="U268" s="19"/>
      <c r="V268" s="19"/>
      <c r="W268" s="19"/>
      <c r="X268" s="19"/>
      <c r="Y268" s="165">
        <v>0.35</v>
      </c>
      <c r="Z268" s="376">
        <f t="shared" si="26"/>
        <v>280000</v>
      </c>
      <c r="AA268" s="19"/>
      <c r="AB268" s="376">
        <f t="shared" si="24"/>
        <v>480000</v>
      </c>
      <c r="AC268" s="376">
        <f t="shared" si="23"/>
        <v>200000</v>
      </c>
      <c r="AD268" s="19" t="s">
        <v>783</v>
      </c>
    </row>
    <row r="269" spans="1:31" ht="63" x14ac:dyDescent="0.25">
      <c r="A269" s="311">
        <v>266</v>
      </c>
      <c r="B269" s="22" t="s">
        <v>3327</v>
      </c>
      <c r="C269" s="148" t="s">
        <v>3311</v>
      </c>
      <c r="D269" s="148"/>
      <c r="E269" s="148"/>
      <c r="F269" s="153" t="s">
        <v>3312</v>
      </c>
      <c r="G269" s="10"/>
      <c r="H269" s="101" t="s">
        <v>3314</v>
      </c>
      <c r="I269" s="148" t="s">
        <v>3313</v>
      </c>
      <c r="J269" s="10" t="s">
        <v>2158</v>
      </c>
      <c r="K269" s="10"/>
      <c r="L269" s="19"/>
      <c r="M269" s="13"/>
      <c r="N269" s="249"/>
      <c r="O269" s="356" t="s">
        <v>1048</v>
      </c>
      <c r="P269" s="356" t="s">
        <v>153</v>
      </c>
      <c r="Q269" s="356">
        <v>300</v>
      </c>
      <c r="R269" s="350">
        <v>500000</v>
      </c>
      <c r="S269" s="356">
        <v>300000</v>
      </c>
      <c r="T269" s="356">
        <f t="shared" si="25"/>
        <v>800000</v>
      </c>
      <c r="U269" s="19"/>
      <c r="V269" s="19"/>
      <c r="W269" s="19"/>
      <c r="X269" s="19"/>
      <c r="Y269" s="165">
        <v>0.3</v>
      </c>
      <c r="Z269" s="376">
        <f t="shared" si="26"/>
        <v>240000</v>
      </c>
      <c r="AA269" s="19"/>
      <c r="AB269" s="376">
        <f t="shared" si="24"/>
        <v>480000</v>
      </c>
      <c r="AC269" s="376">
        <f t="shared" si="23"/>
        <v>240000</v>
      </c>
      <c r="AD269" s="19" t="s">
        <v>1389</v>
      </c>
    </row>
    <row r="270" spans="1:31" ht="47.25" x14ac:dyDescent="0.25">
      <c r="A270" s="113">
        <v>267</v>
      </c>
      <c r="B270" s="19" t="s">
        <v>3326</v>
      </c>
      <c r="C270" s="148" t="s">
        <v>3328</v>
      </c>
      <c r="D270" s="148" t="s">
        <v>474</v>
      </c>
      <c r="E270" s="148" t="s">
        <v>457</v>
      </c>
      <c r="F270" s="153" t="s">
        <v>3329</v>
      </c>
      <c r="G270" s="10"/>
      <c r="H270" s="101" t="s">
        <v>168</v>
      </c>
      <c r="I270" s="148" t="s">
        <v>3330</v>
      </c>
      <c r="J270" s="10" t="s">
        <v>363</v>
      </c>
      <c r="K270" s="10"/>
      <c r="L270" s="19"/>
      <c r="M270" s="13"/>
      <c r="N270" s="249"/>
      <c r="O270" s="507" t="s">
        <v>1048</v>
      </c>
      <c r="P270" s="507" t="s">
        <v>153</v>
      </c>
      <c r="Q270" s="507">
        <v>300</v>
      </c>
      <c r="R270" s="549">
        <v>500000</v>
      </c>
      <c r="S270" s="507">
        <v>300000</v>
      </c>
      <c r="T270" s="507">
        <f t="shared" si="25"/>
        <v>800000</v>
      </c>
      <c r="U270" s="19"/>
      <c r="V270" s="19"/>
      <c r="W270" s="19"/>
      <c r="X270" s="19"/>
      <c r="Y270" s="165">
        <v>0.4</v>
      </c>
      <c r="Z270" s="376">
        <f t="shared" si="21"/>
        <v>320000</v>
      </c>
      <c r="AA270" s="19"/>
      <c r="AB270" s="605">
        <f t="shared" si="24"/>
        <v>480000</v>
      </c>
      <c r="AC270" s="605">
        <f t="shared" si="23"/>
        <v>160000</v>
      </c>
      <c r="AD270" s="19"/>
      <c r="AE270" s="23">
        <f>T270*5%</f>
        <v>40000</v>
      </c>
    </row>
    <row r="271" spans="1:31" ht="47.25" x14ac:dyDescent="0.25">
      <c r="A271" s="74">
        <v>268</v>
      </c>
      <c r="B271" s="19" t="s">
        <v>3326</v>
      </c>
      <c r="C271" s="148" t="s">
        <v>3331</v>
      </c>
      <c r="D271" s="148" t="s">
        <v>474</v>
      </c>
      <c r="E271" s="148" t="s">
        <v>457</v>
      </c>
      <c r="F271" s="153" t="s">
        <v>2295</v>
      </c>
      <c r="G271" s="10"/>
      <c r="H271" s="101" t="s">
        <v>888</v>
      </c>
      <c r="I271" s="148" t="s">
        <v>3332</v>
      </c>
      <c r="J271" s="10" t="s">
        <v>363</v>
      </c>
      <c r="K271" s="10"/>
      <c r="L271" s="19"/>
      <c r="M271" s="13"/>
      <c r="N271" s="249"/>
      <c r="O271" s="507" t="s">
        <v>1048</v>
      </c>
      <c r="P271" s="507" t="s">
        <v>153</v>
      </c>
      <c r="Q271" s="507">
        <v>300</v>
      </c>
      <c r="R271" s="549">
        <v>500000</v>
      </c>
      <c r="S271" s="507">
        <v>300000</v>
      </c>
      <c r="T271" s="507">
        <f t="shared" si="25"/>
        <v>800000</v>
      </c>
      <c r="U271" s="19"/>
      <c r="V271" s="19"/>
      <c r="W271" s="19"/>
      <c r="X271" s="19"/>
      <c r="Y271" s="165">
        <v>0.4</v>
      </c>
      <c r="Z271" s="376">
        <f t="shared" si="21"/>
        <v>320000</v>
      </c>
      <c r="AA271" s="19"/>
      <c r="AB271" s="605">
        <f t="shared" si="24"/>
        <v>480000</v>
      </c>
      <c r="AC271" s="605">
        <f t="shared" si="23"/>
        <v>160000</v>
      </c>
      <c r="AD271" s="19"/>
      <c r="AE271" s="23">
        <f>T271*5%</f>
        <v>40000</v>
      </c>
    </row>
    <row r="272" spans="1:31" ht="47.25" x14ac:dyDescent="0.25">
      <c r="A272" s="311">
        <v>269</v>
      </c>
      <c r="B272" s="22">
        <v>43923</v>
      </c>
      <c r="C272" s="148" t="s">
        <v>3333</v>
      </c>
      <c r="D272" s="148"/>
      <c r="E272" s="148" t="s">
        <v>457</v>
      </c>
      <c r="F272" s="153" t="s">
        <v>3336</v>
      </c>
      <c r="G272" s="10"/>
      <c r="H272" s="101" t="s">
        <v>273</v>
      </c>
      <c r="I272" s="148" t="s">
        <v>3335</v>
      </c>
      <c r="J272" s="10" t="s">
        <v>3334</v>
      </c>
      <c r="K272" s="10"/>
      <c r="L272" s="19"/>
      <c r="M272" s="13"/>
      <c r="N272" s="249"/>
      <c r="O272" s="19" t="s">
        <v>1422</v>
      </c>
      <c r="P272" s="19" t="s">
        <v>180</v>
      </c>
      <c r="Q272" s="19">
        <v>2000</v>
      </c>
      <c r="R272" s="13">
        <v>500000</v>
      </c>
      <c r="S272" s="19">
        <v>1100000</v>
      </c>
      <c r="T272" s="19">
        <f t="shared" si="25"/>
        <v>1600000</v>
      </c>
      <c r="U272" s="19"/>
      <c r="V272" s="19"/>
      <c r="W272" s="19"/>
      <c r="X272" s="19"/>
      <c r="Y272" s="19"/>
      <c r="Z272" s="376">
        <f t="shared" si="21"/>
        <v>0</v>
      </c>
      <c r="AA272" s="19"/>
      <c r="AB272" s="376">
        <f t="shared" si="24"/>
        <v>960000</v>
      </c>
      <c r="AC272" s="376">
        <f t="shared" si="23"/>
        <v>960000</v>
      </c>
      <c r="AD272" s="19"/>
    </row>
    <row r="273" spans="1:30" ht="47.25" x14ac:dyDescent="0.25">
      <c r="A273" s="113">
        <v>270</v>
      </c>
      <c r="B273" s="22">
        <v>43923</v>
      </c>
      <c r="C273" s="148" t="s">
        <v>3337</v>
      </c>
      <c r="D273" s="148"/>
      <c r="E273" s="148" t="s">
        <v>457</v>
      </c>
      <c r="F273" s="153" t="s">
        <v>3338</v>
      </c>
      <c r="G273" s="10"/>
      <c r="H273" s="101" t="s">
        <v>168</v>
      </c>
      <c r="I273" s="148" t="s">
        <v>3339</v>
      </c>
      <c r="J273" s="10" t="s">
        <v>3334</v>
      </c>
      <c r="K273" s="10"/>
      <c r="L273" s="19"/>
      <c r="M273" s="13"/>
      <c r="N273" s="249"/>
      <c r="O273" s="19" t="s">
        <v>398</v>
      </c>
      <c r="P273" s="19" t="s">
        <v>278</v>
      </c>
      <c r="Q273" s="19">
        <v>5000</v>
      </c>
      <c r="R273" s="13">
        <v>500000</v>
      </c>
      <c r="S273" s="19">
        <v>2250000</v>
      </c>
      <c r="T273" s="19">
        <f t="shared" si="25"/>
        <v>2750000</v>
      </c>
      <c r="U273" s="19"/>
      <c r="V273" s="19"/>
      <c r="W273" s="19"/>
      <c r="X273" s="19"/>
      <c r="Y273" s="19"/>
      <c r="Z273" s="376">
        <f t="shared" si="21"/>
        <v>0</v>
      </c>
      <c r="AA273" s="19"/>
      <c r="AB273" s="376">
        <f t="shared" si="24"/>
        <v>1650000</v>
      </c>
      <c r="AC273" s="376">
        <f t="shared" si="23"/>
        <v>1650000</v>
      </c>
      <c r="AD273" s="19"/>
    </row>
    <row r="274" spans="1:30" ht="47.25" x14ac:dyDescent="0.25">
      <c r="A274" s="74">
        <v>271</v>
      </c>
      <c r="B274" s="22">
        <v>43923</v>
      </c>
      <c r="C274" s="148" t="s">
        <v>1726</v>
      </c>
      <c r="D274" s="148"/>
      <c r="E274" s="148"/>
      <c r="F274" s="153" t="s">
        <v>1727</v>
      </c>
      <c r="G274" s="10"/>
      <c r="H274" s="101" t="s">
        <v>448</v>
      </c>
      <c r="I274" s="148" t="s">
        <v>3340</v>
      </c>
      <c r="J274" s="10" t="s">
        <v>3341</v>
      </c>
      <c r="K274" s="10"/>
      <c r="L274" s="19"/>
      <c r="M274" s="13"/>
      <c r="N274" s="249"/>
      <c r="O274" s="19" t="s">
        <v>1144</v>
      </c>
      <c r="P274" s="19"/>
      <c r="Q274" s="19"/>
      <c r="R274" s="13"/>
      <c r="S274" s="19"/>
      <c r="T274" s="19"/>
      <c r="U274" s="19"/>
      <c r="V274" s="19"/>
      <c r="W274" s="19"/>
      <c r="X274" s="19"/>
      <c r="Y274" s="19"/>
      <c r="Z274" s="376">
        <f t="shared" si="21"/>
        <v>0</v>
      </c>
      <c r="AA274" s="19"/>
      <c r="AB274" s="605">
        <f t="shared" si="24"/>
        <v>0</v>
      </c>
      <c r="AC274" s="605">
        <f t="shared" si="23"/>
        <v>0</v>
      </c>
      <c r="AD274" s="19"/>
    </row>
    <row r="275" spans="1:30" ht="47.25" x14ac:dyDescent="0.25">
      <c r="A275" s="311">
        <v>272</v>
      </c>
      <c r="B275" s="22">
        <v>43923</v>
      </c>
      <c r="C275" s="148" t="s">
        <v>3342</v>
      </c>
      <c r="D275" s="148" t="s">
        <v>309</v>
      </c>
      <c r="E275" s="148"/>
      <c r="F275" s="153" t="s">
        <v>3343</v>
      </c>
      <c r="G275" s="10"/>
      <c r="H275" s="101" t="s">
        <v>168</v>
      </c>
      <c r="I275" s="148" t="s">
        <v>3344</v>
      </c>
      <c r="J275" s="10" t="s">
        <v>3345</v>
      </c>
      <c r="K275" s="10"/>
      <c r="L275" s="19"/>
      <c r="M275" s="13"/>
      <c r="N275" s="249"/>
      <c r="O275" s="356" t="s">
        <v>1048</v>
      </c>
      <c r="P275" s="356" t="s">
        <v>153</v>
      </c>
      <c r="Q275" s="356">
        <v>300</v>
      </c>
      <c r="R275" s="350">
        <v>500000</v>
      </c>
      <c r="S275" s="356">
        <v>300000</v>
      </c>
      <c r="T275" s="356">
        <f t="shared" ref="T275:T317" si="27">R275+S275</f>
        <v>800000</v>
      </c>
      <c r="U275" s="19"/>
      <c r="V275" s="19"/>
      <c r="W275" s="19"/>
      <c r="X275" s="19"/>
      <c r="Y275" s="165">
        <v>0.3</v>
      </c>
      <c r="Z275" s="376">
        <f t="shared" ref="Z275:Z306" si="28">T275*Y275</f>
        <v>240000</v>
      </c>
      <c r="AA275" s="19"/>
      <c r="AB275" s="376">
        <f t="shared" si="24"/>
        <v>480000</v>
      </c>
      <c r="AC275" s="376">
        <f t="shared" si="23"/>
        <v>240000</v>
      </c>
      <c r="AD275" s="19"/>
    </row>
    <row r="276" spans="1:30" ht="63" x14ac:dyDescent="0.25">
      <c r="A276" s="113">
        <v>273</v>
      </c>
      <c r="B276" s="22">
        <v>43953</v>
      </c>
      <c r="C276" s="148" t="s">
        <v>1146</v>
      </c>
      <c r="D276" s="148"/>
      <c r="E276" s="148" t="s">
        <v>2327</v>
      </c>
      <c r="F276" s="101" t="s">
        <v>2699</v>
      </c>
      <c r="G276" s="10"/>
      <c r="H276" s="101" t="s">
        <v>1243</v>
      </c>
      <c r="I276" s="148" t="s">
        <v>2700</v>
      </c>
      <c r="J276" s="10" t="s">
        <v>3346</v>
      </c>
      <c r="K276" s="10"/>
      <c r="L276" s="19"/>
      <c r="M276" s="13"/>
      <c r="N276" s="249"/>
      <c r="O276" s="19" t="s">
        <v>1855</v>
      </c>
      <c r="P276" s="19" t="s">
        <v>94</v>
      </c>
      <c r="Q276" s="19">
        <v>1000</v>
      </c>
      <c r="R276" s="13">
        <v>0</v>
      </c>
      <c r="S276" s="19">
        <v>675000</v>
      </c>
      <c r="T276" s="19">
        <f t="shared" si="27"/>
        <v>675000</v>
      </c>
      <c r="U276" s="19"/>
      <c r="V276" s="19"/>
      <c r="W276" s="19"/>
      <c r="X276" s="19"/>
      <c r="Y276" s="19"/>
      <c r="Z276" s="376">
        <f t="shared" si="28"/>
        <v>0</v>
      </c>
      <c r="AA276" s="19"/>
      <c r="AB276" s="376">
        <f t="shared" si="24"/>
        <v>405000</v>
      </c>
      <c r="AC276" s="376">
        <f t="shared" si="23"/>
        <v>405000</v>
      </c>
      <c r="AD276" s="19" t="s">
        <v>3246</v>
      </c>
    </row>
    <row r="277" spans="1:30" ht="63" x14ac:dyDescent="0.25">
      <c r="A277" s="74">
        <v>274</v>
      </c>
      <c r="B277" s="22">
        <v>43953</v>
      </c>
      <c r="C277" s="148" t="s">
        <v>1146</v>
      </c>
      <c r="D277" s="148"/>
      <c r="E277" s="148" t="s">
        <v>2327</v>
      </c>
      <c r="F277" s="101" t="s">
        <v>2699</v>
      </c>
      <c r="G277" s="10"/>
      <c r="H277" s="101" t="s">
        <v>1243</v>
      </c>
      <c r="I277" s="148" t="s">
        <v>2700</v>
      </c>
      <c r="J277" s="10" t="s">
        <v>3346</v>
      </c>
      <c r="K277" s="10"/>
      <c r="L277" s="19"/>
      <c r="M277" s="13"/>
      <c r="N277" s="249"/>
      <c r="O277" s="19" t="s">
        <v>1855</v>
      </c>
      <c r="P277" s="19" t="s">
        <v>94</v>
      </c>
      <c r="Q277" s="19">
        <v>1000</v>
      </c>
      <c r="R277" s="13">
        <v>0</v>
      </c>
      <c r="S277" s="19">
        <v>675000</v>
      </c>
      <c r="T277" s="19">
        <f t="shared" si="27"/>
        <v>675000</v>
      </c>
      <c r="U277" s="19"/>
      <c r="V277" s="19"/>
      <c r="W277" s="19"/>
      <c r="X277" s="19"/>
      <c r="Y277" s="19"/>
      <c r="Z277" s="376">
        <f t="shared" si="28"/>
        <v>0</v>
      </c>
      <c r="AA277" s="19"/>
      <c r="AB277" s="376">
        <f t="shared" si="24"/>
        <v>405000</v>
      </c>
      <c r="AC277" s="376">
        <f t="shared" si="23"/>
        <v>405000</v>
      </c>
      <c r="AD277" s="19" t="s">
        <v>3246</v>
      </c>
    </row>
    <row r="278" spans="1:30" ht="47.25" x14ac:dyDescent="0.25">
      <c r="A278" s="311">
        <v>275</v>
      </c>
      <c r="B278" s="22">
        <v>43953</v>
      </c>
      <c r="C278" s="148" t="s">
        <v>3347</v>
      </c>
      <c r="D278" s="148" t="s">
        <v>2065</v>
      </c>
      <c r="E278" s="148" t="s">
        <v>866</v>
      </c>
      <c r="F278" s="153" t="s">
        <v>3348</v>
      </c>
      <c r="G278" s="10"/>
      <c r="H278" s="101" t="s">
        <v>1177</v>
      </c>
      <c r="I278" s="148" t="s">
        <v>3349</v>
      </c>
      <c r="J278" s="10"/>
      <c r="K278" s="10"/>
      <c r="L278" s="19"/>
      <c r="M278" s="13"/>
      <c r="N278" s="249"/>
      <c r="O278" s="19" t="s">
        <v>1422</v>
      </c>
      <c r="P278" s="19" t="s">
        <v>180</v>
      </c>
      <c r="Q278" s="19">
        <v>2000</v>
      </c>
      <c r="R278" s="13">
        <v>500000</v>
      </c>
      <c r="S278" s="19">
        <v>1100000</v>
      </c>
      <c r="T278" s="19">
        <f t="shared" si="27"/>
        <v>1600000</v>
      </c>
      <c r="U278" s="19"/>
      <c r="V278" s="19"/>
      <c r="W278" s="19"/>
      <c r="X278" s="19"/>
      <c r="Y278" s="165">
        <v>0.4</v>
      </c>
      <c r="Z278" s="376">
        <f t="shared" si="28"/>
        <v>640000</v>
      </c>
      <c r="AA278" s="19"/>
      <c r="AB278" s="376">
        <f t="shared" si="24"/>
        <v>960000</v>
      </c>
      <c r="AC278" s="376">
        <f t="shared" si="23"/>
        <v>320000</v>
      </c>
      <c r="AD278" s="19" t="s">
        <v>3350</v>
      </c>
    </row>
    <row r="279" spans="1:30" ht="47.25" x14ac:dyDescent="0.25">
      <c r="A279" s="113">
        <v>276</v>
      </c>
      <c r="B279" s="22">
        <v>43984</v>
      </c>
      <c r="C279" s="148" t="s">
        <v>3353</v>
      </c>
      <c r="D279" s="148"/>
      <c r="E279" s="148" t="s">
        <v>457</v>
      </c>
      <c r="F279" s="153" t="s">
        <v>3351</v>
      </c>
      <c r="G279" s="10"/>
      <c r="H279" s="101" t="s">
        <v>2199</v>
      </c>
      <c r="I279" s="148" t="s">
        <v>3352</v>
      </c>
      <c r="J279" s="10"/>
      <c r="K279" s="10"/>
      <c r="L279" s="19"/>
      <c r="M279" s="13"/>
      <c r="N279" s="249"/>
      <c r="O279" s="356" t="s">
        <v>1048</v>
      </c>
      <c r="P279" s="356" t="s">
        <v>153</v>
      </c>
      <c r="Q279" s="356">
        <v>300</v>
      </c>
      <c r="R279" s="350">
        <v>500000</v>
      </c>
      <c r="S279" s="356">
        <v>300000</v>
      </c>
      <c r="T279" s="356">
        <f t="shared" si="27"/>
        <v>800000</v>
      </c>
      <c r="U279" s="19"/>
      <c r="V279" s="19"/>
      <c r="W279" s="19"/>
      <c r="X279" s="19"/>
      <c r="Y279" s="19"/>
      <c r="Z279" s="376">
        <f t="shared" si="28"/>
        <v>0</v>
      </c>
      <c r="AA279" s="19"/>
      <c r="AB279" s="376">
        <f t="shared" si="24"/>
        <v>480000</v>
      </c>
      <c r="AC279" s="376">
        <f t="shared" si="23"/>
        <v>480000</v>
      </c>
      <c r="AD279" s="19" t="s">
        <v>1746</v>
      </c>
    </row>
    <row r="280" spans="1:30" ht="47.25" x14ac:dyDescent="0.25">
      <c r="A280" s="74">
        <v>277</v>
      </c>
      <c r="B280" s="22">
        <v>43984</v>
      </c>
      <c r="C280" s="148" t="s">
        <v>3354</v>
      </c>
      <c r="D280" s="148"/>
      <c r="E280" s="148" t="s">
        <v>457</v>
      </c>
      <c r="F280" s="153" t="s">
        <v>3355</v>
      </c>
      <c r="G280" s="10"/>
      <c r="H280" s="101" t="s">
        <v>2199</v>
      </c>
      <c r="I280" s="148" t="s">
        <v>3352</v>
      </c>
      <c r="J280" s="10" t="s">
        <v>3356</v>
      </c>
      <c r="K280" s="10"/>
      <c r="L280" s="19"/>
      <c r="M280" s="13"/>
      <c r="N280" s="249"/>
      <c r="O280" s="356" t="s">
        <v>1048</v>
      </c>
      <c r="P280" s="356" t="s">
        <v>153</v>
      </c>
      <c r="Q280" s="356">
        <v>300</v>
      </c>
      <c r="R280" s="350">
        <v>500000</v>
      </c>
      <c r="S280" s="356">
        <v>300000</v>
      </c>
      <c r="T280" s="356">
        <f t="shared" si="27"/>
        <v>800000</v>
      </c>
      <c r="U280" s="19"/>
      <c r="V280" s="19"/>
      <c r="W280" s="19"/>
      <c r="X280" s="19"/>
      <c r="Y280" s="19"/>
      <c r="Z280" s="376">
        <f t="shared" si="28"/>
        <v>0</v>
      </c>
      <c r="AA280" s="19"/>
      <c r="AB280" s="376">
        <f t="shared" si="24"/>
        <v>480000</v>
      </c>
      <c r="AC280" s="376">
        <f t="shared" si="23"/>
        <v>480000</v>
      </c>
      <c r="AD280" s="19"/>
    </row>
    <row r="281" spans="1:30" ht="47.25" x14ac:dyDescent="0.25">
      <c r="A281" s="311">
        <v>278</v>
      </c>
      <c r="B281" s="22">
        <v>44014</v>
      </c>
      <c r="C281" s="148" t="s">
        <v>3360</v>
      </c>
      <c r="D281" s="148" t="s">
        <v>2163</v>
      </c>
      <c r="E281" s="148" t="s">
        <v>457</v>
      </c>
      <c r="F281" s="101" t="s">
        <v>3361</v>
      </c>
      <c r="G281" s="10"/>
      <c r="H281" s="101" t="s">
        <v>604</v>
      </c>
      <c r="I281" s="148" t="s">
        <v>3362</v>
      </c>
      <c r="J281" s="10"/>
      <c r="K281" s="10"/>
      <c r="L281" s="19"/>
      <c r="M281" s="13"/>
      <c r="N281" s="249"/>
      <c r="O281" s="356" t="s">
        <v>1048</v>
      </c>
      <c r="P281" s="356" t="s">
        <v>153</v>
      </c>
      <c r="Q281" s="356">
        <v>300</v>
      </c>
      <c r="R281" s="350">
        <v>500000</v>
      </c>
      <c r="S281" s="356">
        <v>300000</v>
      </c>
      <c r="T281" s="356">
        <f t="shared" si="27"/>
        <v>800000</v>
      </c>
      <c r="U281" s="19"/>
      <c r="V281" s="19"/>
      <c r="W281" s="19"/>
      <c r="X281" s="19"/>
      <c r="Y281" s="165">
        <v>0.4</v>
      </c>
      <c r="Z281" s="376">
        <f t="shared" si="28"/>
        <v>320000</v>
      </c>
      <c r="AA281" s="19"/>
      <c r="AB281" s="376">
        <f t="shared" si="24"/>
        <v>480000</v>
      </c>
      <c r="AC281" s="376">
        <f t="shared" si="23"/>
        <v>160000</v>
      </c>
      <c r="AD281" s="19" t="s">
        <v>3815</v>
      </c>
    </row>
    <row r="282" spans="1:30" ht="47.25" x14ac:dyDescent="0.25">
      <c r="A282" s="113">
        <v>279</v>
      </c>
      <c r="B282" s="22">
        <v>44014</v>
      </c>
      <c r="C282" s="148" t="s">
        <v>3364</v>
      </c>
      <c r="D282" s="148" t="s">
        <v>350</v>
      </c>
      <c r="E282" s="148" t="s">
        <v>2327</v>
      </c>
      <c r="F282" s="153" t="s">
        <v>3363</v>
      </c>
      <c r="G282" s="10"/>
      <c r="H282" s="101" t="s">
        <v>199</v>
      </c>
      <c r="I282" s="148" t="s">
        <v>3365</v>
      </c>
      <c r="J282" s="10"/>
      <c r="K282" s="10"/>
      <c r="L282" s="19"/>
      <c r="M282" s="13"/>
      <c r="N282" s="249"/>
      <c r="O282" s="356" t="s">
        <v>1048</v>
      </c>
      <c r="P282" s="356" t="s">
        <v>153</v>
      </c>
      <c r="Q282" s="356">
        <v>300</v>
      </c>
      <c r="R282" s="350">
        <v>500000</v>
      </c>
      <c r="S282" s="356">
        <v>300000</v>
      </c>
      <c r="T282" s="356">
        <f t="shared" si="27"/>
        <v>800000</v>
      </c>
      <c r="U282" s="19"/>
      <c r="V282" s="19"/>
      <c r="W282" s="19"/>
      <c r="X282" s="19"/>
      <c r="Y282" s="165">
        <v>0.4</v>
      </c>
      <c r="Z282" s="376">
        <f t="shared" si="28"/>
        <v>320000</v>
      </c>
      <c r="AA282" s="19"/>
      <c r="AB282" s="376">
        <f t="shared" si="24"/>
        <v>480000</v>
      </c>
      <c r="AC282" s="376">
        <f t="shared" si="23"/>
        <v>160000</v>
      </c>
      <c r="AD282" s="19" t="s">
        <v>1746</v>
      </c>
    </row>
    <row r="283" spans="1:30" ht="47.25" x14ac:dyDescent="0.25">
      <c r="A283" s="74">
        <v>280</v>
      </c>
      <c r="B283" s="22">
        <v>44014</v>
      </c>
      <c r="C283" s="148" t="s">
        <v>3370</v>
      </c>
      <c r="D283" s="148"/>
      <c r="E283" s="148" t="s">
        <v>457</v>
      </c>
      <c r="F283" s="101" t="s">
        <v>3371</v>
      </c>
      <c r="G283" s="10"/>
      <c r="H283" s="101" t="s">
        <v>1177</v>
      </c>
      <c r="I283" s="148" t="s">
        <v>3372</v>
      </c>
      <c r="J283" s="10" t="s">
        <v>3374</v>
      </c>
      <c r="K283" s="10"/>
      <c r="L283" s="19"/>
      <c r="M283" s="13"/>
      <c r="N283" s="249"/>
      <c r="O283" s="356" t="s">
        <v>1048</v>
      </c>
      <c r="P283" s="356" t="s">
        <v>153</v>
      </c>
      <c r="Q283" s="356">
        <v>300</v>
      </c>
      <c r="R283" s="350">
        <v>500000</v>
      </c>
      <c r="S283" s="356">
        <v>300000</v>
      </c>
      <c r="T283" s="356">
        <f t="shared" si="27"/>
        <v>800000</v>
      </c>
      <c r="U283" s="19"/>
      <c r="V283" s="19"/>
      <c r="W283" s="19"/>
      <c r="X283" s="19"/>
      <c r="Y283" s="19"/>
      <c r="Z283" s="376">
        <f t="shared" si="28"/>
        <v>0</v>
      </c>
      <c r="AA283" s="19"/>
      <c r="AB283" s="376">
        <f t="shared" si="24"/>
        <v>480000</v>
      </c>
      <c r="AC283" s="376">
        <f t="shared" si="23"/>
        <v>480000</v>
      </c>
      <c r="AD283" s="19" t="s">
        <v>3459</v>
      </c>
    </row>
    <row r="284" spans="1:30" s="272" customFormat="1" ht="47.25" x14ac:dyDescent="0.25">
      <c r="A284" s="311">
        <v>281</v>
      </c>
      <c r="B284" s="373">
        <v>44045</v>
      </c>
      <c r="C284" s="358" t="s">
        <v>3380</v>
      </c>
      <c r="D284" s="358" t="s">
        <v>866</v>
      </c>
      <c r="E284" s="358"/>
      <c r="F284" s="335" t="s">
        <v>3379</v>
      </c>
      <c r="G284" s="269"/>
      <c r="H284" s="335" t="s">
        <v>168</v>
      </c>
      <c r="I284" s="358" t="s">
        <v>3381</v>
      </c>
      <c r="J284" s="269"/>
      <c r="K284" s="269"/>
      <c r="L284" s="266"/>
      <c r="M284" s="278"/>
      <c r="N284" s="439"/>
      <c r="O284" s="266" t="s">
        <v>299</v>
      </c>
      <c r="P284" s="266" t="s">
        <v>153</v>
      </c>
      <c r="Q284" s="266">
        <v>500</v>
      </c>
      <c r="R284" s="278">
        <v>500000</v>
      </c>
      <c r="S284" s="266">
        <v>425000</v>
      </c>
      <c r="T284" s="266">
        <f t="shared" si="27"/>
        <v>925000</v>
      </c>
      <c r="U284" s="266"/>
      <c r="V284" s="266"/>
      <c r="W284" s="266"/>
      <c r="X284" s="266"/>
      <c r="Y284" s="271">
        <v>0.4</v>
      </c>
      <c r="Z284" s="605">
        <f t="shared" si="28"/>
        <v>370000</v>
      </c>
      <c r="AA284" s="266"/>
      <c r="AB284" s="605">
        <f t="shared" si="24"/>
        <v>555000</v>
      </c>
      <c r="AC284" s="605">
        <f t="shared" si="23"/>
        <v>185000</v>
      </c>
      <c r="AD284" s="266"/>
    </row>
    <row r="285" spans="1:30" ht="47.25" x14ac:dyDescent="0.25">
      <c r="A285" s="113">
        <v>282</v>
      </c>
      <c r="B285" s="22">
        <v>44045</v>
      </c>
      <c r="C285" s="148" t="s">
        <v>3382</v>
      </c>
      <c r="D285" s="148"/>
      <c r="E285" s="148" t="s">
        <v>866</v>
      </c>
      <c r="F285" s="101" t="s">
        <v>3383</v>
      </c>
      <c r="G285" s="10"/>
      <c r="H285" s="101" t="s">
        <v>2199</v>
      </c>
      <c r="I285" s="148" t="s">
        <v>2439</v>
      </c>
      <c r="J285" s="10" t="s">
        <v>3384</v>
      </c>
      <c r="K285" s="10"/>
      <c r="L285" s="19"/>
      <c r="M285" s="13"/>
      <c r="N285" s="249"/>
      <c r="O285" s="356" t="s">
        <v>1048</v>
      </c>
      <c r="P285" s="356" t="s">
        <v>153</v>
      </c>
      <c r="Q285" s="356">
        <v>300</v>
      </c>
      <c r="R285" s="350">
        <v>500000</v>
      </c>
      <c r="S285" s="356">
        <v>300000</v>
      </c>
      <c r="T285" s="356">
        <f t="shared" si="27"/>
        <v>800000</v>
      </c>
      <c r="U285" s="19"/>
      <c r="V285" s="19"/>
      <c r="W285" s="19"/>
      <c r="X285" s="19"/>
      <c r="Y285" s="19"/>
      <c r="Z285" s="376">
        <f t="shared" si="28"/>
        <v>0</v>
      </c>
      <c r="AA285" s="19"/>
      <c r="AB285" s="376">
        <f t="shared" si="24"/>
        <v>480000</v>
      </c>
      <c r="AC285" s="376">
        <f t="shared" si="23"/>
        <v>480000</v>
      </c>
      <c r="AD285" s="19" t="s">
        <v>783</v>
      </c>
    </row>
    <row r="286" spans="1:30" ht="63" x14ac:dyDescent="0.25">
      <c r="A286" s="74">
        <v>283</v>
      </c>
      <c r="B286" s="22">
        <v>44106</v>
      </c>
      <c r="C286" s="148" t="s">
        <v>3386</v>
      </c>
      <c r="D286" s="148" t="s">
        <v>2163</v>
      </c>
      <c r="E286" s="148" t="s">
        <v>457</v>
      </c>
      <c r="F286" s="101" t="s">
        <v>3385</v>
      </c>
      <c r="G286" s="269"/>
      <c r="H286" s="101" t="s">
        <v>1243</v>
      </c>
      <c r="I286" s="148" t="s">
        <v>3387</v>
      </c>
      <c r="J286" s="10"/>
      <c r="K286" s="10"/>
      <c r="L286" s="19"/>
      <c r="M286" s="278"/>
      <c r="N286" s="249"/>
      <c r="O286" s="356" t="s">
        <v>1048</v>
      </c>
      <c r="P286" s="356" t="s">
        <v>153</v>
      </c>
      <c r="Q286" s="356">
        <v>300</v>
      </c>
      <c r="R286" s="350">
        <v>500000</v>
      </c>
      <c r="S286" s="356">
        <v>300000</v>
      </c>
      <c r="T286" s="356">
        <f t="shared" si="27"/>
        <v>800000</v>
      </c>
      <c r="U286" s="266"/>
      <c r="V286" s="266"/>
      <c r="W286" s="266"/>
      <c r="X286" s="266"/>
      <c r="Y286" s="165">
        <v>0.4</v>
      </c>
      <c r="Z286" s="376">
        <f t="shared" si="28"/>
        <v>320000</v>
      </c>
      <c r="AA286" s="19"/>
      <c r="AB286" s="376">
        <f t="shared" si="24"/>
        <v>480000</v>
      </c>
      <c r="AC286" s="376">
        <f t="shared" si="23"/>
        <v>160000</v>
      </c>
      <c r="AD286" s="19" t="s">
        <v>3249</v>
      </c>
    </row>
    <row r="287" spans="1:30" ht="47.25" x14ac:dyDescent="0.25">
      <c r="A287" s="311">
        <v>284</v>
      </c>
      <c r="B287" s="22">
        <v>44137</v>
      </c>
      <c r="C287" s="148" t="s">
        <v>3398</v>
      </c>
      <c r="D287" s="148" t="s">
        <v>474</v>
      </c>
      <c r="E287" s="148" t="s">
        <v>2327</v>
      </c>
      <c r="F287" s="153" t="s">
        <v>3397</v>
      </c>
      <c r="G287" s="10"/>
      <c r="H287" s="101" t="s">
        <v>888</v>
      </c>
      <c r="I287" s="148" t="s">
        <v>3399</v>
      </c>
      <c r="J287" s="10"/>
      <c r="K287" s="10"/>
      <c r="L287" s="19"/>
      <c r="M287" s="13"/>
      <c r="N287" s="249"/>
      <c r="O287" s="356" t="s">
        <v>1048</v>
      </c>
      <c r="P287" s="356" t="s">
        <v>153</v>
      </c>
      <c r="Q287" s="356">
        <v>300</v>
      </c>
      <c r="R287" s="350">
        <v>500000</v>
      </c>
      <c r="S287" s="356">
        <v>300000</v>
      </c>
      <c r="T287" s="356">
        <f t="shared" si="27"/>
        <v>800000</v>
      </c>
      <c r="U287" s="19"/>
      <c r="V287" s="19"/>
      <c r="W287" s="19"/>
      <c r="X287" s="19"/>
      <c r="Y287" s="165">
        <v>0.4</v>
      </c>
      <c r="Z287" s="376">
        <f t="shared" si="28"/>
        <v>320000</v>
      </c>
      <c r="AA287" s="19"/>
      <c r="AB287" s="376">
        <f t="shared" si="24"/>
        <v>480000</v>
      </c>
      <c r="AC287" s="376">
        <f t="shared" si="23"/>
        <v>160000</v>
      </c>
      <c r="AD287" s="19"/>
    </row>
    <row r="288" spans="1:30" ht="47.25" x14ac:dyDescent="0.25">
      <c r="A288" s="113">
        <v>285</v>
      </c>
      <c r="B288" s="22">
        <v>44137</v>
      </c>
      <c r="C288" s="148" t="s">
        <v>3400</v>
      </c>
      <c r="D288" s="148" t="s">
        <v>474</v>
      </c>
      <c r="E288" s="148" t="s">
        <v>2327</v>
      </c>
      <c r="F288" s="101" t="s">
        <v>3401</v>
      </c>
      <c r="G288" s="10"/>
      <c r="H288" s="101" t="s">
        <v>199</v>
      </c>
      <c r="I288" s="148" t="s">
        <v>3402</v>
      </c>
      <c r="J288" s="10"/>
      <c r="K288" s="10"/>
      <c r="L288" s="19"/>
      <c r="M288" s="13"/>
      <c r="N288" s="249"/>
      <c r="O288" s="356" t="s">
        <v>1048</v>
      </c>
      <c r="P288" s="356" t="s">
        <v>153</v>
      </c>
      <c r="Q288" s="356">
        <v>300</v>
      </c>
      <c r="R288" s="350">
        <v>500000</v>
      </c>
      <c r="S288" s="356">
        <v>300000</v>
      </c>
      <c r="T288" s="356">
        <f t="shared" si="27"/>
        <v>800000</v>
      </c>
      <c r="U288" s="19"/>
      <c r="V288" s="19"/>
      <c r="W288" s="19"/>
      <c r="X288" s="19"/>
      <c r="Y288" s="165">
        <v>0.4</v>
      </c>
      <c r="Z288" s="376">
        <f t="shared" si="28"/>
        <v>320000</v>
      </c>
      <c r="AA288" s="19"/>
      <c r="AB288" s="376">
        <f t="shared" si="24"/>
        <v>480000</v>
      </c>
      <c r="AC288" s="376">
        <f t="shared" si="23"/>
        <v>160000</v>
      </c>
      <c r="AD288" s="19"/>
    </row>
    <row r="289" spans="1:30" ht="47.25" x14ac:dyDescent="0.25">
      <c r="A289" s="74">
        <v>286</v>
      </c>
      <c r="B289" s="22">
        <v>44137</v>
      </c>
      <c r="C289" s="148" t="s">
        <v>3425</v>
      </c>
      <c r="D289" s="148" t="s">
        <v>1686</v>
      </c>
      <c r="E289" s="148"/>
      <c r="F289" s="153" t="s">
        <v>3426</v>
      </c>
      <c r="G289" s="10"/>
      <c r="H289" s="101" t="s">
        <v>2199</v>
      </c>
      <c r="I289" s="148" t="s">
        <v>3424</v>
      </c>
      <c r="J289" s="10"/>
      <c r="K289" s="10"/>
      <c r="L289" s="19"/>
      <c r="M289" s="13"/>
      <c r="N289" s="249"/>
      <c r="O289" s="10" t="s">
        <v>1855</v>
      </c>
      <c r="P289" s="10" t="s">
        <v>278</v>
      </c>
      <c r="Q289" s="10">
        <v>1000</v>
      </c>
      <c r="R289" s="11">
        <v>500000</v>
      </c>
      <c r="S289" s="10">
        <v>675000</v>
      </c>
      <c r="T289" s="10">
        <f t="shared" si="27"/>
        <v>1175000</v>
      </c>
      <c r="U289" s="19"/>
      <c r="V289" s="19"/>
      <c r="W289" s="19"/>
      <c r="X289" s="19"/>
      <c r="Y289" s="165">
        <v>0.47</v>
      </c>
      <c r="Z289" s="376">
        <f t="shared" si="28"/>
        <v>552250</v>
      </c>
      <c r="AA289" s="19"/>
      <c r="AB289" s="376">
        <f t="shared" si="24"/>
        <v>705000</v>
      </c>
      <c r="AC289" s="376">
        <f t="shared" si="23"/>
        <v>152750</v>
      </c>
      <c r="AD289" s="19" t="s">
        <v>1746</v>
      </c>
    </row>
    <row r="290" spans="1:30" s="272" customFormat="1" ht="47.25" x14ac:dyDescent="0.25">
      <c r="A290" s="311">
        <v>287</v>
      </c>
      <c r="B290" s="266" t="s">
        <v>3428</v>
      </c>
      <c r="C290" s="358" t="s">
        <v>3429</v>
      </c>
      <c r="D290" s="358" t="s">
        <v>2483</v>
      </c>
      <c r="E290" s="358" t="s">
        <v>457</v>
      </c>
      <c r="F290" s="335" t="s">
        <v>3427</v>
      </c>
      <c r="G290" s="269"/>
      <c r="H290" s="335" t="s">
        <v>273</v>
      </c>
      <c r="I290" s="358" t="s">
        <v>3430</v>
      </c>
      <c r="J290" s="269"/>
      <c r="K290" s="269"/>
      <c r="L290" s="266"/>
      <c r="M290" s="278"/>
      <c r="N290" s="439"/>
      <c r="O290" s="507" t="s">
        <v>1048</v>
      </c>
      <c r="P290" s="507" t="s">
        <v>153</v>
      </c>
      <c r="Q290" s="507">
        <v>300</v>
      </c>
      <c r="R290" s="549">
        <v>500000</v>
      </c>
      <c r="S290" s="507">
        <v>300000</v>
      </c>
      <c r="T290" s="507">
        <f t="shared" si="27"/>
        <v>800000</v>
      </c>
      <c r="U290" s="266"/>
      <c r="V290" s="266"/>
      <c r="W290" s="266"/>
      <c r="X290" s="266"/>
      <c r="Y290" s="271">
        <v>0.4</v>
      </c>
      <c r="Z290" s="605">
        <f t="shared" si="28"/>
        <v>320000</v>
      </c>
      <c r="AA290" s="266"/>
      <c r="AB290" s="605">
        <f t="shared" si="24"/>
        <v>480000</v>
      </c>
      <c r="AC290" s="605">
        <f t="shared" ref="AC290:AC307" si="29">AB290-Z290</f>
        <v>160000</v>
      </c>
      <c r="AD290" s="266"/>
    </row>
    <row r="291" spans="1:30" s="272" customFormat="1" ht="47.25" x14ac:dyDescent="0.25">
      <c r="A291" s="113">
        <v>288</v>
      </c>
      <c r="B291" s="266" t="s">
        <v>3432</v>
      </c>
      <c r="C291" s="358" t="s">
        <v>3433</v>
      </c>
      <c r="D291" s="358" t="s">
        <v>309</v>
      </c>
      <c r="E291" s="358" t="s">
        <v>2327</v>
      </c>
      <c r="F291" s="335" t="s">
        <v>3431</v>
      </c>
      <c r="G291" s="269"/>
      <c r="H291" s="335" t="s">
        <v>888</v>
      </c>
      <c r="I291" s="358" t="s">
        <v>3434</v>
      </c>
      <c r="J291" s="269" t="s">
        <v>309</v>
      </c>
      <c r="K291" s="269"/>
      <c r="L291" s="266"/>
      <c r="M291" s="278"/>
      <c r="N291" s="439"/>
      <c r="O291" s="507" t="s">
        <v>1048</v>
      </c>
      <c r="P291" s="507" t="s">
        <v>153</v>
      </c>
      <c r="Q291" s="507">
        <v>300</v>
      </c>
      <c r="R291" s="549">
        <v>500000</v>
      </c>
      <c r="S291" s="507">
        <v>300000</v>
      </c>
      <c r="T291" s="507">
        <f t="shared" si="27"/>
        <v>800000</v>
      </c>
      <c r="U291" s="266"/>
      <c r="V291" s="266"/>
      <c r="W291" s="266"/>
      <c r="X291" s="266"/>
      <c r="Y291" s="266"/>
      <c r="Z291" s="605">
        <f t="shared" si="28"/>
        <v>0</v>
      </c>
      <c r="AA291" s="266"/>
      <c r="AB291" s="605">
        <f t="shared" si="24"/>
        <v>480000</v>
      </c>
      <c r="AC291" s="605">
        <f t="shared" si="29"/>
        <v>480000</v>
      </c>
      <c r="AD291" s="266"/>
    </row>
    <row r="292" spans="1:30" s="272" customFormat="1" ht="47.25" x14ac:dyDescent="0.25">
      <c r="A292" s="74">
        <v>289</v>
      </c>
      <c r="B292" s="266" t="s">
        <v>3419</v>
      </c>
      <c r="C292" s="358" t="s">
        <v>2599</v>
      </c>
      <c r="D292" s="358"/>
      <c r="E292" s="358" t="s">
        <v>457</v>
      </c>
      <c r="F292" s="335" t="s">
        <v>2600</v>
      </c>
      <c r="G292" s="269"/>
      <c r="H292" s="335" t="s">
        <v>199</v>
      </c>
      <c r="I292" s="358" t="s">
        <v>2601</v>
      </c>
      <c r="J292" s="269" t="s">
        <v>309</v>
      </c>
      <c r="K292" s="269"/>
      <c r="L292" s="266"/>
      <c r="M292" s="278"/>
      <c r="N292" s="439"/>
      <c r="O292" s="507" t="s">
        <v>1048</v>
      </c>
      <c r="P292" s="507" t="s">
        <v>153</v>
      </c>
      <c r="Q292" s="507">
        <v>300</v>
      </c>
      <c r="R292" s="549">
        <v>500000</v>
      </c>
      <c r="S292" s="507">
        <v>300000</v>
      </c>
      <c r="T292" s="507">
        <f t="shared" si="27"/>
        <v>800000</v>
      </c>
      <c r="U292" s="266"/>
      <c r="V292" s="266"/>
      <c r="W292" s="266"/>
      <c r="X292" s="266"/>
      <c r="Y292" s="266"/>
      <c r="Z292" s="605">
        <f t="shared" si="28"/>
        <v>0</v>
      </c>
      <c r="AA292" s="266"/>
      <c r="AB292" s="605">
        <f t="shared" si="24"/>
        <v>480000</v>
      </c>
      <c r="AC292" s="605">
        <f t="shared" si="29"/>
        <v>480000</v>
      </c>
      <c r="AD292" s="266"/>
    </row>
    <row r="293" spans="1:30" s="272" customFormat="1" ht="63" x14ac:dyDescent="0.25">
      <c r="A293" s="311">
        <v>290</v>
      </c>
      <c r="B293" s="266" t="s">
        <v>3432</v>
      </c>
      <c r="C293" s="358" t="s">
        <v>3435</v>
      </c>
      <c r="D293" s="358"/>
      <c r="E293" s="358" t="s">
        <v>2327</v>
      </c>
      <c r="F293" s="335" t="s">
        <v>3436</v>
      </c>
      <c r="G293" s="269"/>
      <c r="H293" s="335" t="s">
        <v>273</v>
      </c>
      <c r="I293" s="358" t="s">
        <v>3437</v>
      </c>
      <c r="J293" s="498" t="s">
        <v>2965</v>
      </c>
      <c r="K293" s="269"/>
      <c r="L293" s="266"/>
      <c r="M293" s="278"/>
      <c r="N293" s="439"/>
      <c r="O293" s="266" t="s">
        <v>299</v>
      </c>
      <c r="P293" s="266" t="s">
        <v>153</v>
      </c>
      <c r="Q293" s="266">
        <v>500</v>
      </c>
      <c r="R293" s="278">
        <v>500000</v>
      </c>
      <c r="S293" s="266">
        <v>425000</v>
      </c>
      <c r="T293" s="266">
        <f t="shared" si="27"/>
        <v>925000</v>
      </c>
      <c r="U293" s="266"/>
      <c r="V293" s="266"/>
      <c r="W293" s="266"/>
      <c r="X293" s="266"/>
      <c r="Y293" s="271">
        <v>0.2</v>
      </c>
      <c r="Z293" s="605">
        <f t="shared" si="28"/>
        <v>185000</v>
      </c>
      <c r="AA293" s="266"/>
      <c r="AB293" s="605">
        <f t="shared" si="24"/>
        <v>555000</v>
      </c>
      <c r="AC293" s="605">
        <f t="shared" si="29"/>
        <v>370000</v>
      </c>
      <c r="AD293" s="266"/>
    </row>
    <row r="294" spans="1:30" ht="47.25" x14ac:dyDescent="0.25">
      <c r="A294" s="113">
        <v>291</v>
      </c>
      <c r="B294" s="19" t="s">
        <v>3432</v>
      </c>
      <c r="C294" s="148" t="s">
        <v>3439</v>
      </c>
      <c r="D294" s="148" t="s">
        <v>3440</v>
      </c>
      <c r="E294" s="148" t="s">
        <v>457</v>
      </c>
      <c r="F294" s="101" t="s">
        <v>3438</v>
      </c>
      <c r="G294" s="10"/>
      <c r="H294" s="101" t="s">
        <v>888</v>
      </c>
      <c r="I294" s="148" t="s">
        <v>3441</v>
      </c>
      <c r="J294" s="10" t="s">
        <v>2936</v>
      </c>
      <c r="K294" s="10"/>
      <c r="L294" s="19"/>
      <c r="M294" s="13"/>
      <c r="N294" s="249"/>
      <c r="O294" s="356" t="s">
        <v>1048</v>
      </c>
      <c r="P294" s="356" t="s">
        <v>153</v>
      </c>
      <c r="Q294" s="356">
        <v>300</v>
      </c>
      <c r="R294" s="350">
        <v>500000</v>
      </c>
      <c r="S294" s="356">
        <v>300000</v>
      </c>
      <c r="T294" s="356">
        <f t="shared" si="27"/>
        <v>800000</v>
      </c>
      <c r="U294" s="19"/>
      <c r="V294" s="19"/>
      <c r="W294" s="19"/>
      <c r="X294" s="19"/>
      <c r="Y294" s="165">
        <v>0.4</v>
      </c>
      <c r="Z294" s="376">
        <f t="shared" si="28"/>
        <v>320000</v>
      </c>
      <c r="AA294" s="19"/>
      <c r="AB294" s="376">
        <f t="shared" si="24"/>
        <v>480000</v>
      </c>
      <c r="AC294" s="376">
        <f t="shared" si="29"/>
        <v>160000</v>
      </c>
      <c r="AD294" s="19" t="s">
        <v>3442</v>
      </c>
    </row>
    <row r="295" spans="1:30" s="272" customFormat="1" ht="63" x14ac:dyDescent="0.25">
      <c r="A295" s="74">
        <v>292</v>
      </c>
      <c r="B295" s="266" t="s">
        <v>524</v>
      </c>
      <c r="C295" s="358" t="s">
        <v>3447</v>
      </c>
      <c r="D295" s="358" t="s">
        <v>309</v>
      </c>
      <c r="E295" s="358" t="s">
        <v>2327</v>
      </c>
      <c r="F295" s="335" t="s">
        <v>3448</v>
      </c>
      <c r="G295" s="269"/>
      <c r="H295" s="335" t="s">
        <v>4181</v>
      </c>
      <c r="I295" s="358" t="s">
        <v>3449</v>
      </c>
      <c r="J295" s="269"/>
      <c r="K295" s="269"/>
      <c r="L295" s="266"/>
      <c r="M295" s="278"/>
      <c r="N295" s="439"/>
      <c r="O295" s="507" t="s">
        <v>1048</v>
      </c>
      <c r="P295" s="507" t="s">
        <v>153</v>
      </c>
      <c r="Q295" s="507">
        <v>300</v>
      </c>
      <c r="R295" s="549">
        <v>500000</v>
      </c>
      <c r="S295" s="507">
        <v>300000</v>
      </c>
      <c r="T295" s="507">
        <f t="shared" si="27"/>
        <v>800000</v>
      </c>
      <c r="U295" s="266"/>
      <c r="V295" s="266"/>
      <c r="W295" s="266"/>
      <c r="X295" s="266"/>
      <c r="Y295" s="271">
        <v>0.4</v>
      </c>
      <c r="Z295" s="605">
        <f t="shared" si="28"/>
        <v>320000</v>
      </c>
      <c r="AA295" s="266"/>
      <c r="AB295" s="605">
        <f t="shared" si="24"/>
        <v>480000</v>
      </c>
      <c r="AC295" s="605">
        <f t="shared" si="29"/>
        <v>160000</v>
      </c>
      <c r="AD295" s="266"/>
    </row>
    <row r="296" spans="1:30" s="272" customFormat="1" ht="47.25" x14ac:dyDescent="0.25">
      <c r="A296" s="311">
        <v>293</v>
      </c>
      <c r="B296" s="266" t="s">
        <v>3463</v>
      </c>
      <c r="C296" s="358" t="s">
        <v>3468</v>
      </c>
      <c r="D296" s="358" t="s">
        <v>3469</v>
      </c>
      <c r="E296" s="358" t="s">
        <v>457</v>
      </c>
      <c r="F296" s="449" t="s">
        <v>3470</v>
      </c>
      <c r="G296" s="269"/>
      <c r="H296" s="335" t="s">
        <v>1177</v>
      </c>
      <c r="I296" s="358" t="s">
        <v>3471</v>
      </c>
      <c r="J296" s="269" t="s">
        <v>3472</v>
      </c>
      <c r="K296" s="269"/>
      <c r="L296" s="266"/>
      <c r="M296" s="278"/>
      <c r="N296" s="439"/>
      <c r="O296" s="266" t="s">
        <v>398</v>
      </c>
      <c r="P296" s="266" t="s">
        <v>278</v>
      </c>
      <c r="Q296" s="266">
        <v>5000</v>
      </c>
      <c r="R296" s="278">
        <v>500000</v>
      </c>
      <c r="S296" s="266">
        <v>2250000</v>
      </c>
      <c r="T296" s="266">
        <f t="shared" si="27"/>
        <v>2750000</v>
      </c>
      <c r="U296" s="266"/>
      <c r="V296" s="266"/>
      <c r="W296" s="266"/>
      <c r="X296" s="266"/>
      <c r="Y296" s="271">
        <v>0.3</v>
      </c>
      <c r="Z296" s="605">
        <f t="shared" si="28"/>
        <v>825000</v>
      </c>
      <c r="AA296" s="266"/>
      <c r="AB296" s="605">
        <f t="shared" si="24"/>
        <v>1650000</v>
      </c>
      <c r="AC296" s="605">
        <f t="shared" si="29"/>
        <v>825000</v>
      </c>
      <c r="AD296" s="266"/>
    </row>
    <row r="297" spans="1:30" s="272" customFormat="1" ht="47.25" x14ac:dyDescent="0.25">
      <c r="A297" s="113">
        <v>294</v>
      </c>
      <c r="B297" s="266" t="s">
        <v>3463</v>
      </c>
      <c r="C297" s="358" t="s">
        <v>3473</v>
      </c>
      <c r="D297" s="358" t="s">
        <v>3024</v>
      </c>
      <c r="E297" s="358" t="s">
        <v>2327</v>
      </c>
      <c r="F297" s="335" t="s">
        <v>3474</v>
      </c>
      <c r="G297" s="269"/>
      <c r="H297" s="335" t="s">
        <v>2043</v>
      </c>
      <c r="I297" s="358" t="s">
        <v>3475</v>
      </c>
      <c r="J297" s="269" t="s">
        <v>450</v>
      </c>
      <c r="K297" s="269"/>
      <c r="L297" s="266"/>
      <c r="M297" s="278"/>
      <c r="N297" s="439"/>
      <c r="O297" s="507" t="s">
        <v>1048</v>
      </c>
      <c r="P297" s="507" t="s">
        <v>153</v>
      </c>
      <c r="Q297" s="507">
        <v>300</v>
      </c>
      <c r="R297" s="549">
        <v>500000</v>
      </c>
      <c r="S297" s="507">
        <v>300000</v>
      </c>
      <c r="T297" s="507">
        <f t="shared" si="27"/>
        <v>800000</v>
      </c>
      <c r="U297" s="266"/>
      <c r="V297" s="266"/>
      <c r="W297" s="266"/>
      <c r="X297" s="266"/>
      <c r="Y297" s="271">
        <v>0.4</v>
      </c>
      <c r="Z297" s="605">
        <f t="shared" si="28"/>
        <v>320000</v>
      </c>
      <c r="AA297" s="266"/>
      <c r="AB297" s="605">
        <f t="shared" si="24"/>
        <v>480000</v>
      </c>
      <c r="AC297" s="605">
        <f t="shared" si="29"/>
        <v>160000</v>
      </c>
      <c r="AD297" s="266"/>
    </row>
    <row r="298" spans="1:30" ht="47.25" x14ac:dyDescent="0.25">
      <c r="A298" s="74">
        <v>295</v>
      </c>
      <c r="B298" s="19" t="s">
        <v>3463</v>
      </c>
      <c r="C298" s="148" t="s">
        <v>3477</v>
      </c>
      <c r="D298" s="148" t="s">
        <v>2163</v>
      </c>
      <c r="E298" s="148" t="s">
        <v>457</v>
      </c>
      <c r="F298" s="101" t="s">
        <v>3476</v>
      </c>
      <c r="G298" s="10"/>
      <c r="H298" s="101" t="s">
        <v>168</v>
      </c>
      <c r="I298" s="148" t="s">
        <v>3478</v>
      </c>
      <c r="J298" s="10" t="s">
        <v>3479</v>
      </c>
      <c r="K298" s="10"/>
      <c r="L298" s="19"/>
      <c r="M298" s="13"/>
      <c r="N298" s="249"/>
      <c r="O298" s="356" t="s">
        <v>1048</v>
      </c>
      <c r="P298" s="356" t="s">
        <v>153</v>
      </c>
      <c r="Q298" s="356">
        <v>300</v>
      </c>
      <c r="R298" s="350">
        <v>500000</v>
      </c>
      <c r="S298" s="356">
        <v>300000</v>
      </c>
      <c r="T298" s="356">
        <f t="shared" si="27"/>
        <v>800000</v>
      </c>
      <c r="U298" s="19"/>
      <c r="V298" s="19"/>
      <c r="W298" s="19"/>
      <c r="X298" s="19"/>
      <c r="Y298" s="165">
        <v>0.4</v>
      </c>
      <c r="Z298" s="376">
        <f t="shared" si="28"/>
        <v>320000</v>
      </c>
      <c r="AA298" s="19"/>
      <c r="AB298" s="376">
        <f t="shared" si="24"/>
        <v>480000</v>
      </c>
      <c r="AC298" s="376">
        <f t="shared" si="29"/>
        <v>160000</v>
      </c>
      <c r="AD298" s="19"/>
    </row>
    <row r="299" spans="1:30" ht="47.25" x14ac:dyDescent="0.25">
      <c r="A299" s="311">
        <v>296</v>
      </c>
      <c r="B299" s="19" t="s">
        <v>3463</v>
      </c>
      <c r="C299" s="148" t="s">
        <v>3482</v>
      </c>
      <c r="D299" s="148" t="s">
        <v>3469</v>
      </c>
      <c r="E299" s="148" t="s">
        <v>2327</v>
      </c>
      <c r="F299" s="101" t="s">
        <v>3480</v>
      </c>
      <c r="G299" s="10"/>
      <c r="H299" s="101" t="s">
        <v>1177</v>
      </c>
      <c r="I299" s="148" t="s">
        <v>3481</v>
      </c>
      <c r="J299" s="10" t="s">
        <v>3483</v>
      </c>
      <c r="K299" s="10"/>
      <c r="L299" s="19"/>
      <c r="M299" s="13"/>
      <c r="N299" s="249"/>
      <c r="O299" s="19" t="s">
        <v>1422</v>
      </c>
      <c r="P299" s="19" t="s">
        <v>180</v>
      </c>
      <c r="Q299" s="19">
        <v>2000</v>
      </c>
      <c r="R299" s="13">
        <v>500000</v>
      </c>
      <c r="S299" s="19">
        <v>1100000</v>
      </c>
      <c r="T299" s="19">
        <f t="shared" si="27"/>
        <v>1600000</v>
      </c>
      <c r="U299" s="19"/>
      <c r="V299" s="19"/>
      <c r="W299" s="19"/>
      <c r="X299" s="19"/>
      <c r="Y299" s="165">
        <v>0.3</v>
      </c>
      <c r="Z299" s="376">
        <f t="shared" si="28"/>
        <v>480000</v>
      </c>
      <c r="AA299" s="19"/>
      <c r="AB299" s="376">
        <f t="shared" si="24"/>
        <v>960000</v>
      </c>
      <c r="AC299" s="376">
        <f t="shared" si="29"/>
        <v>480000</v>
      </c>
      <c r="AD299" s="19" t="s">
        <v>3752</v>
      </c>
    </row>
    <row r="300" spans="1:30" ht="47.25" x14ac:dyDescent="0.25">
      <c r="A300" s="113">
        <v>297</v>
      </c>
      <c r="B300" s="19" t="s">
        <v>3463</v>
      </c>
      <c r="C300" s="148" t="s">
        <v>3485</v>
      </c>
      <c r="D300" s="148" t="s">
        <v>309</v>
      </c>
      <c r="E300" s="148" t="s">
        <v>2327</v>
      </c>
      <c r="F300" s="101" t="s">
        <v>3484</v>
      </c>
      <c r="G300" s="10"/>
      <c r="H300" s="101" t="s">
        <v>273</v>
      </c>
      <c r="I300" s="148" t="s">
        <v>3486</v>
      </c>
      <c r="J300" s="10"/>
      <c r="K300" s="10"/>
      <c r="L300" s="19"/>
      <c r="M300" s="13"/>
      <c r="N300" s="249"/>
      <c r="O300" s="356" t="s">
        <v>1048</v>
      </c>
      <c r="P300" s="356" t="s">
        <v>153</v>
      </c>
      <c r="Q300" s="356">
        <v>300</v>
      </c>
      <c r="R300" s="350">
        <v>500000</v>
      </c>
      <c r="S300" s="356">
        <v>300000</v>
      </c>
      <c r="T300" s="356">
        <f t="shared" si="27"/>
        <v>800000</v>
      </c>
      <c r="U300" s="19"/>
      <c r="V300" s="19"/>
      <c r="W300" s="19"/>
      <c r="X300" s="19"/>
      <c r="Y300" s="165">
        <v>0.3</v>
      </c>
      <c r="Z300" s="376">
        <f t="shared" si="28"/>
        <v>240000</v>
      </c>
      <c r="AA300" s="19"/>
      <c r="AB300" s="376">
        <f t="shared" si="24"/>
        <v>480000</v>
      </c>
      <c r="AC300" s="376">
        <f t="shared" si="29"/>
        <v>240000</v>
      </c>
      <c r="AD300" s="19" t="s">
        <v>3596</v>
      </c>
    </row>
    <row r="301" spans="1:30" s="272" customFormat="1" ht="47.25" x14ac:dyDescent="0.25">
      <c r="A301" s="74">
        <v>298</v>
      </c>
      <c r="B301" s="266" t="s">
        <v>3487</v>
      </c>
      <c r="C301" s="358" t="s">
        <v>3488</v>
      </c>
      <c r="D301" s="358" t="s">
        <v>2327</v>
      </c>
      <c r="E301" s="358"/>
      <c r="F301" s="335" t="s">
        <v>3491</v>
      </c>
      <c r="G301" s="269"/>
      <c r="H301" s="335" t="s">
        <v>888</v>
      </c>
      <c r="I301" s="358" t="s">
        <v>3489</v>
      </c>
      <c r="J301" s="269"/>
      <c r="K301" s="380" t="s">
        <v>3490</v>
      </c>
      <c r="L301" s="266"/>
      <c r="M301" s="278"/>
      <c r="N301" s="439"/>
      <c r="O301" s="507" t="s">
        <v>1048</v>
      </c>
      <c r="P301" s="507" t="s">
        <v>153</v>
      </c>
      <c r="Q301" s="507">
        <v>300</v>
      </c>
      <c r="R301" s="549">
        <v>500000</v>
      </c>
      <c r="S301" s="507">
        <v>300000</v>
      </c>
      <c r="T301" s="507">
        <f t="shared" si="27"/>
        <v>800000</v>
      </c>
      <c r="U301" s="266"/>
      <c r="V301" s="266"/>
      <c r="W301" s="266"/>
      <c r="X301" s="266"/>
      <c r="Y301" s="271">
        <v>0.35</v>
      </c>
      <c r="Z301" s="605">
        <f t="shared" si="28"/>
        <v>280000</v>
      </c>
      <c r="AA301" s="266"/>
      <c r="AB301" s="605">
        <f t="shared" si="24"/>
        <v>480000</v>
      </c>
      <c r="AC301" s="605">
        <f t="shared" si="29"/>
        <v>200000</v>
      </c>
      <c r="AD301" s="266"/>
    </row>
    <row r="302" spans="1:30" s="272" customFormat="1" ht="47.25" x14ac:dyDescent="0.25">
      <c r="A302" s="311">
        <v>299</v>
      </c>
      <c r="B302" s="266" t="s">
        <v>3487</v>
      </c>
      <c r="C302" s="358" t="s">
        <v>3492</v>
      </c>
      <c r="D302" s="358" t="s">
        <v>1686</v>
      </c>
      <c r="E302" s="358"/>
      <c r="F302" s="335" t="s">
        <v>3493</v>
      </c>
      <c r="G302" s="269"/>
      <c r="H302" s="335" t="s">
        <v>2199</v>
      </c>
      <c r="I302" s="358" t="s">
        <v>3494</v>
      </c>
      <c r="J302" s="269"/>
      <c r="K302" s="269"/>
      <c r="L302" s="266"/>
      <c r="M302" s="278"/>
      <c r="N302" s="439"/>
      <c r="O302" s="266" t="s">
        <v>1422</v>
      </c>
      <c r="P302" s="266" t="s">
        <v>180</v>
      </c>
      <c r="Q302" s="266">
        <v>2000</v>
      </c>
      <c r="R302" s="278">
        <v>500000</v>
      </c>
      <c r="S302" s="266">
        <v>1100000</v>
      </c>
      <c r="T302" s="266">
        <f t="shared" si="27"/>
        <v>1600000</v>
      </c>
      <c r="U302" s="266"/>
      <c r="V302" s="266"/>
      <c r="W302" s="266"/>
      <c r="X302" s="266"/>
      <c r="Y302" s="271">
        <v>0.47</v>
      </c>
      <c r="Z302" s="605">
        <f t="shared" si="28"/>
        <v>752000</v>
      </c>
      <c r="AA302" s="266"/>
      <c r="AB302" s="605">
        <f t="shared" si="24"/>
        <v>960000</v>
      </c>
      <c r="AC302" s="605">
        <f t="shared" si="29"/>
        <v>208000</v>
      </c>
      <c r="AD302" s="266"/>
    </row>
    <row r="303" spans="1:30" ht="47.25" x14ac:dyDescent="0.25">
      <c r="A303" s="113">
        <v>300</v>
      </c>
      <c r="B303" s="19" t="s">
        <v>3487</v>
      </c>
      <c r="C303" s="148" t="s">
        <v>3495</v>
      </c>
      <c r="D303" s="148" t="s">
        <v>984</v>
      </c>
      <c r="E303" s="148" t="s">
        <v>866</v>
      </c>
      <c r="F303" s="101" t="s">
        <v>3496</v>
      </c>
      <c r="G303" s="10"/>
      <c r="H303" s="101" t="s">
        <v>273</v>
      </c>
      <c r="I303" s="148" t="s">
        <v>3497</v>
      </c>
      <c r="J303" s="10"/>
      <c r="K303" s="10"/>
      <c r="L303" s="19"/>
      <c r="M303" s="13"/>
      <c r="N303" s="249"/>
      <c r="O303" s="356" t="s">
        <v>1048</v>
      </c>
      <c r="P303" s="356" t="s">
        <v>153</v>
      </c>
      <c r="Q303" s="356">
        <v>300</v>
      </c>
      <c r="R303" s="350">
        <v>500000</v>
      </c>
      <c r="S303" s="356">
        <v>300000</v>
      </c>
      <c r="T303" s="356">
        <f t="shared" si="27"/>
        <v>800000</v>
      </c>
      <c r="U303" s="19"/>
      <c r="V303" s="19"/>
      <c r="W303" s="19"/>
      <c r="X303" s="19"/>
      <c r="Y303" s="165">
        <v>0.3</v>
      </c>
      <c r="Z303" s="376">
        <f t="shared" si="28"/>
        <v>240000</v>
      </c>
      <c r="AA303" s="19"/>
      <c r="AB303" s="376">
        <f t="shared" si="24"/>
        <v>480000</v>
      </c>
      <c r="AC303" s="376">
        <f t="shared" si="29"/>
        <v>240000</v>
      </c>
      <c r="AD303" s="19" t="s">
        <v>3852</v>
      </c>
    </row>
    <row r="304" spans="1:30" s="36" customFormat="1" ht="63" x14ac:dyDescent="0.25">
      <c r="A304" s="74">
        <v>301</v>
      </c>
      <c r="B304" s="18" t="s">
        <v>3487</v>
      </c>
      <c r="C304" s="134" t="s">
        <v>1707</v>
      </c>
      <c r="D304" s="134" t="s">
        <v>3024</v>
      </c>
      <c r="E304" s="134" t="s">
        <v>457</v>
      </c>
      <c r="F304" s="379" t="s">
        <v>1807</v>
      </c>
      <c r="G304" s="269"/>
      <c r="H304" s="379" t="s">
        <v>3499</v>
      </c>
      <c r="I304" s="134" t="s">
        <v>3498</v>
      </c>
      <c r="J304" s="78" t="s">
        <v>450</v>
      </c>
      <c r="K304" s="78"/>
      <c r="L304" s="18"/>
      <c r="M304" s="278"/>
      <c r="N304" s="559"/>
      <c r="O304" s="581" t="s">
        <v>1048</v>
      </c>
      <c r="P304" s="581" t="s">
        <v>153</v>
      </c>
      <c r="Q304" s="581">
        <v>300</v>
      </c>
      <c r="R304" s="582">
        <v>500000</v>
      </c>
      <c r="S304" s="581">
        <v>300000</v>
      </c>
      <c r="T304" s="581">
        <f t="shared" si="27"/>
        <v>800000</v>
      </c>
      <c r="U304" s="266"/>
      <c r="V304" s="266"/>
      <c r="W304" s="266"/>
      <c r="X304" s="266"/>
      <c r="Y304" s="87">
        <v>0.4</v>
      </c>
      <c r="Z304" s="414">
        <f t="shared" si="28"/>
        <v>320000</v>
      </c>
      <c r="AA304" s="18"/>
      <c r="AB304" s="414">
        <f t="shared" si="24"/>
        <v>480000</v>
      </c>
      <c r="AC304" s="414">
        <f t="shared" si="29"/>
        <v>160000</v>
      </c>
      <c r="AD304" s="18" t="s">
        <v>1746</v>
      </c>
    </row>
    <row r="305" spans="1:30" ht="47.25" x14ac:dyDescent="0.25">
      <c r="A305" s="311">
        <v>302</v>
      </c>
      <c r="B305" s="19" t="s">
        <v>3527</v>
      </c>
      <c r="C305" s="148" t="s">
        <v>3528</v>
      </c>
      <c r="D305" s="148" t="s">
        <v>1177</v>
      </c>
      <c r="E305" s="148" t="s">
        <v>457</v>
      </c>
      <c r="F305" s="101" t="s">
        <v>3529</v>
      </c>
      <c r="G305" s="10"/>
      <c r="H305" s="101" t="s">
        <v>1177</v>
      </c>
      <c r="I305" s="148" t="s">
        <v>3530</v>
      </c>
      <c r="J305" s="10" t="s">
        <v>3531</v>
      </c>
      <c r="K305" s="10"/>
      <c r="L305" s="19"/>
      <c r="M305" s="13"/>
      <c r="N305" s="249"/>
      <c r="O305" s="356" t="s">
        <v>1048</v>
      </c>
      <c r="P305" s="356" t="s">
        <v>153</v>
      </c>
      <c r="Q305" s="356">
        <v>300</v>
      </c>
      <c r="R305" s="350">
        <v>500000</v>
      </c>
      <c r="S305" s="356">
        <v>300000</v>
      </c>
      <c r="T305" s="356">
        <f t="shared" si="27"/>
        <v>800000</v>
      </c>
      <c r="U305" s="19"/>
      <c r="V305" s="19"/>
      <c r="W305" s="19"/>
      <c r="X305" s="19"/>
      <c r="Y305" s="165">
        <v>0.4</v>
      </c>
      <c r="Z305" s="376">
        <f t="shared" si="28"/>
        <v>320000</v>
      </c>
      <c r="AA305" s="19"/>
      <c r="AB305" s="376">
        <f t="shared" si="24"/>
        <v>480000</v>
      </c>
      <c r="AC305" s="376">
        <f t="shared" si="29"/>
        <v>160000</v>
      </c>
      <c r="AD305" s="19"/>
    </row>
    <row r="306" spans="1:30" ht="47.25" x14ac:dyDescent="0.25">
      <c r="A306" s="113">
        <v>303</v>
      </c>
      <c r="B306" s="19" t="s">
        <v>3505</v>
      </c>
      <c r="C306" s="148" t="s">
        <v>3533</v>
      </c>
      <c r="D306" s="148" t="s">
        <v>474</v>
      </c>
      <c r="E306" s="148" t="s">
        <v>866</v>
      </c>
      <c r="F306" s="101" t="s">
        <v>3532</v>
      </c>
      <c r="G306" s="269"/>
      <c r="H306" s="101" t="s">
        <v>888</v>
      </c>
      <c r="I306" s="148" t="s">
        <v>3534</v>
      </c>
      <c r="J306" s="10" t="s">
        <v>363</v>
      </c>
      <c r="K306" s="10"/>
      <c r="L306" s="19"/>
      <c r="M306" s="278"/>
      <c r="N306" s="249"/>
      <c r="O306" s="19" t="s">
        <v>299</v>
      </c>
      <c r="P306" s="19" t="s">
        <v>153</v>
      </c>
      <c r="Q306" s="19">
        <v>500</v>
      </c>
      <c r="R306" s="13">
        <v>500000</v>
      </c>
      <c r="S306" s="19">
        <v>425000</v>
      </c>
      <c r="T306" s="19">
        <f t="shared" si="27"/>
        <v>925000</v>
      </c>
      <c r="U306" s="266"/>
      <c r="V306" s="266"/>
      <c r="W306" s="266"/>
      <c r="X306" s="266"/>
      <c r="Y306" s="165">
        <v>0.4</v>
      </c>
      <c r="Z306" s="376">
        <f t="shared" si="28"/>
        <v>370000</v>
      </c>
      <c r="AA306" s="19"/>
      <c r="AB306" s="376">
        <f t="shared" si="24"/>
        <v>555000</v>
      </c>
      <c r="AC306" s="376">
        <f t="shared" si="29"/>
        <v>185000</v>
      </c>
      <c r="AD306" s="19"/>
    </row>
    <row r="307" spans="1:30" s="272" customFormat="1" ht="47.25" x14ac:dyDescent="0.25">
      <c r="A307" s="74">
        <v>304</v>
      </c>
      <c r="B307" s="266" t="s">
        <v>3535</v>
      </c>
      <c r="C307" s="358" t="s">
        <v>3536</v>
      </c>
      <c r="D307" s="358" t="s">
        <v>1177</v>
      </c>
      <c r="E307" s="358" t="s">
        <v>457</v>
      </c>
      <c r="F307" s="335" t="s">
        <v>3537</v>
      </c>
      <c r="G307" s="269"/>
      <c r="H307" s="335" t="s">
        <v>1177</v>
      </c>
      <c r="I307" s="358" t="s">
        <v>3538</v>
      </c>
      <c r="J307" s="269" t="s">
        <v>3539</v>
      </c>
      <c r="K307" s="269"/>
      <c r="L307" s="266"/>
      <c r="M307" s="278"/>
      <c r="N307" s="439"/>
      <c r="O307" s="507" t="s">
        <v>1048</v>
      </c>
      <c r="P307" s="507" t="s">
        <v>153</v>
      </c>
      <c r="Q307" s="507">
        <v>300</v>
      </c>
      <c r="R307" s="549">
        <v>500000</v>
      </c>
      <c r="S307" s="507">
        <v>300000</v>
      </c>
      <c r="T307" s="507">
        <f t="shared" si="27"/>
        <v>800000</v>
      </c>
      <c r="U307" s="266"/>
      <c r="V307" s="266"/>
      <c r="W307" s="266"/>
      <c r="X307" s="266"/>
      <c r="Y307" s="271">
        <v>0.4</v>
      </c>
      <c r="Z307" s="605">
        <f>T307*Y307</f>
        <v>320000</v>
      </c>
      <c r="AA307" s="266"/>
      <c r="AB307" s="605">
        <f t="shared" si="24"/>
        <v>480000</v>
      </c>
      <c r="AC307" s="605">
        <f t="shared" si="29"/>
        <v>160000</v>
      </c>
      <c r="AD307" s="266"/>
    </row>
    <row r="308" spans="1:30" ht="31.5" x14ac:dyDescent="0.25">
      <c r="A308" s="311">
        <v>305</v>
      </c>
      <c r="B308" s="22">
        <v>43833</v>
      </c>
      <c r="C308" s="148" t="s">
        <v>3522</v>
      </c>
      <c r="D308" s="148"/>
      <c r="E308" s="148" t="s">
        <v>457</v>
      </c>
      <c r="F308" s="101" t="s">
        <v>3541</v>
      </c>
      <c r="G308" s="10"/>
      <c r="H308" s="101" t="s">
        <v>3540</v>
      </c>
      <c r="I308" s="148" t="s">
        <v>3523</v>
      </c>
      <c r="J308" s="10"/>
      <c r="K308" s="10"/>
      <c r="L308" s="19"/>
      <c r="M308" s="13"/>
      <c r="N308" s="249"/>
      <c r="O308" s="10" t="s">
        <v>1855</v>
      </c>
      <c r="P308" s="10" t="s">
        <v>278</v>
      </c>
      <c r="Q308" s="10">
        <v>1000</v>
      </c>
      <c r="R308" s="11">
        <v>500000</v>
      </c>
      <c r="S308" s="10">
        <v>675000</v>
      </c>
      <c r="T308" s="10">
        <f t="shared" si="27"/>
        <v>1175000</v>
      </c>
      <c r="U308" s="19"/>
      <c r="V308" s="19"/>
      <c r="W308" s="19"/>
      <c r="X308" s="19"/>
      <c r="Y308" s="165">
        <v>0.4</v>
      </c>
      <c r="Z308" s="376">
        <f>T308*Y308</f>
        <v>470000</v>
      </c>
      <c r="AA308" s="19"/>
      <c r="AB308" s="376">
        <f t="shared" si="24"/>
        <v>705000</v>
      </c>
      <c r="AC308" s="376">
        <f>AB308-Z308</f>
        <v>235000</v>
      </c>
      <c r="AD308" s="19" t="s">
        <v>1451</v>
      </c>
    </row>
    <row r="309" spans="1:30" s="7" customFormat="1" ht="31.5" x14ac:dyDescent="0.25">
      <c r="A309" s="113">
        <v>306</v>
      </c>
      <c r="B309" s="122">
        <v>43893</v>
      </c>
      <c r="C309" s="157" t="s">
        <v>3542</v>
      </c>
      <c r="D309" s="157" t="s">
        <v>1177</v>
      </c>
      <c r="E309" s="157" t="s">
        <v>457</v>
      </c>
      <c r="F309" s="29" t="s">
        <v>3543</v>
      </c>
      <c r="G309" s="10"/>
      <c r="H309" s="29" t="s">
        <v>1177</v>
      </c>
      <c r="I309" s="157" t="s">
        <v>3544</v>
      </c>
      <c r="J309" s="10"/>
      <c r="K309" s="10"/>
      <c r="L309" s="10"/>
      <c r="M309" s="11"/>
      <c r="N309" s="249"/>
      <c r="O309" s="356" t="s">
        <v>1048</v>
      </c>
      <c r="P309" s="356" t="s">
        <v>153</v>
      </c>
      <c r="Q309" s="356">
        <v>300</v>
      </c>
      <c r="R309" s="350">
        <v>500000</v>
      </c>
      <c r="S309" s="356">
        <v>300000</v>
      </c>
      <c r="T309" s="356">
        <f t="shared" si="27"/>
        <v>800000</v>
      </c>
      <c r="U309" s="10"/>
      <c r="V309" s="10"/>
      <c r="W309" s="10"/>
      <c r="X309" s="10"/>
      <c r="Y309" s="98">
        <v>0.4</v>
      </c>
      <c r="Z309" s="376">
        <f>T309*Y309</f>
        <v>320000</v>
      </c>
      <c r="AA309" s="10"/>
      <c r="AB309" s="38">
        <f t="shared" si="24"/>
        <v>480000</v>
      </c>
      <c r="AC309" s="38">
        <f>AB309-Z309</f>
        <v>160000</v>
      </c>
      <c r="AD309" s="10" t="s">
        <v>1746</v>
      </c>
    </row>
    <row r="310" spans="1:30" ht="47.25" x14ac:dyDescent="0.25">
      <c r="A310" s="74">
        <v>307</v>
      </c>
      <c r="B310" s="22">
        <v>43893</v>
      </c>
      <c r="C310" s="148" t="s">
        <v>3545</v>
      </c>
      <c r="D310" s="148"/>
      <c r="E310" s="148" t="s">
        <v>457</v>
      </c>
      <c r="F310" s="101" t="s">
        <v>1944</v>
      </c>
      <c r="G310" s="10"/>
      <c r="H310" s="101" t="s">
        <v>448</v>
      </c>
      <c r="I310" s="148" t="s">
        <v>3546</v>
      </c>
      <c r="J310" s="10"/>
      <c r="K310" s="10"/>
      <c r="L310" s="19"/>
      <c r="M310" s="13"/>
      <c r="N310" s="249"/>
      <c r="O310" s="19" t="s">
        <v>1422</v>
      </c>
      <c r="P310" s="19" t="s">
        <v>180</v>
      </c>
      <c r="Q310" s="19">
        <v>2000</v>
      </c>
      <c r="R310" s="13">
        <v>0</v>
      </c>
      <c r="S310" s="19">
        <v>1100000</v>
      </c>
      <c r="T310" s="19">
        <f t="shared" si="27"/>
        <v>1100000</v>
      </c>
      <c r="U310" s="19"/>
      <c r="V310" s="19"/>
      <c r="W310" s="19"/>
      <c r="X310" s="19"/>
      <c r="Y310" s="19"/>
      <c r="Z310" s="376"/>
      <c r="AA310" s="19"/>
      <c r="AB310" s="376">
        <f t="shared" si="24"/>
        <v>660000</v>
      </c>
      <c r="AC310" s="38">
        <f t="shared" ref="AC310:AC373" si="30">AB310-Z310</f>
        <v>660000</v>
      </c>
      <c r="AD310" s="19" t="s">
        <v>1746</v>
      </c>
    </row>
    <row r="311" spans="1:30" ht="47.25" x14ac:dyDescent="0.25">
      <c r="A311" s="311">
        <v>308</v>
      </c>
      <c r="B311" s="22">
        <v>43894</v>
      </c>
      <c r="C311" s="148" t="s">
        <v>3547</v>
      </c>
      <c r="D311" s="148" t="s">
        <v>309</v>
      </c>
      <c r="E311" s="148" t="s">
        <v>457</v>
      </c>
      <c r="F311" s="101" t="s">
        <v>3549</v>
      </c>
      <c r="G311" s="10"/>
      <c r="H311" s="101" t="s">
        <v>273</v>
      </c>
      <c r="I311" s="148" t="s">
        <v>3548</v>
      </c>
      <c r="J311" s="10"/>
      <c r="K311" s="10"/>
      <c r="L311" s="19"/>
      <c r="M311" s="13"/>
      <c r="N311" s="249"/>
      <c r="O311" s="356" t="s">
        <v>1048</v>
      </c>
      <c r="P311" s="356" t="s">
        <v>153</v>
      </c>
      <c r="Q311" s="356">
        <v>300</v>
      </c>
      <c r="R311" s="350">
        <v>500000</v>
      </c>
      <c r="S311" s="356">
        <v>300000</v>
      </c>
      <c r="T311" s="356">
        <f t="shared" si="27"/>
        <v>800000</v>
      </c>
      <c r="U311" s="19"/>
      <c r="V311" s="19"/>
      <c r="W311" s="19"/>
      <c r="X311" s="19"/>
      <c r="Y311" s="165">
        <v>0.3</v>
      </c>
      <c r="Z311" s="376">
        <f t="shared" ref="Z311:Z338" si="31">T311*Y311</f>
        <v>240000</v>
      </c>
      <c r="AA311" s="19"/>
      <c r="AB311" s="376">
        <f t="shared" si="24"/>
        <v>480000</v>
      </c>
      <c r="AC311" s="38">
        <f t="shared" si="30"/>
        <v>240000</v>
      </c>
      <c r="AD311" s="10" t="s">
        <v>1746</v>
      </c>
    </row>
    <row r="312" spans="1:30" ht="47.25" x14ac:dyDescent="0.25">
      <c r="A312" s="113">
        <v>309</v>
      </c>
      <c r="B312" s="22">
        <v>43894</v>
      </c>
      <c r="C312" s="148" t="s">
        <v>3550</v>
      </c>
      <c r="D312" s="148" t="s">
        <v>3551</v>
      </c>
      <c r="E312" s="148" t="s">
        <v>457</v>
      </c>
      <c r="F312" s="101" t="s">
        <v>3553</v>
      </c>
      <c r="G312" s="10"/>
      <c r="H312" s="101" t="s">
        <v>168</v>
      </c>
      <c r="I312" s="148" t="s">
        <v>3554</v>
      </c>
      <c r="J312" s="10" t="s">
        <v>3552</v>
      </c>
      <c r="K312" s="10"/>
      <c r="L312" s="19"/>
      <c r="M312" s="13"/>
      <c r="N312" s="249"/>
      <c r="O312" s="356" t="s">
        <v>1048</v>
      </c>
      <c r="P312" s="356" t="s">
        <v>153</v>
      </c>
      <c r="Q312" s="356">
        <v>300</v>
      </c>
      <c r="R312" s="350">
        <v>500000</v>
      </c>
      <c r="S312" s="356">
        <v>300000</v>
      </c>
      <c r="T312" s="356">
        <f t="shared" si="27"/>
        <v>800000</v>
      </c>
      <c r="U312" s="19"/>
      <c r="V312" s="19"/>
      <c r="W312" s="19"/>
      <c r="X312" s="19"/>
      <c r="Y312" s="165">
        <v>0.3</v>
      </c>
      <c r="Z312" s="376">
        <f t="shared" si="31"/>
        <v>240000</v>
      </c>
      <c r="AA312" s="19"/>
      <c r="AB312" s="376">
        <f t="shared" si="24"/>
        <v>480000</v>
      </c>
      <c r="AC312" s="38">
        <f t="shared" si="30"/>
        <v>240000</v>
      </c>
      <c r="AD312" s="19" t="s">
        <v>3850</v>
      </c>
    </row>
    <row r="313" spans="1:30" ht="63" x14ac:dyDescent="0.25">
      <c r="A313" s="74">
        <v>310</v>
      </c>
      <c r="B313" s="22">
        <v>43894</v>
      </c>
      <c r="C313" s="148" t="s">
        <v>3556</v>
      </c>
      <c r="D313" s="148" t="s">
        <v>3469</v>
      </c>
      <c r="E313" s="148" t="s">
        <v>457</v>
      </c>
      <c r="F313" s="101" t="s">
        <v>3555</v>
      </c>
      <c r="G313" s="10"/>
      <c r="H313" s="101" t="s">
        <v>1177</v>
      </c>
      <c r="I313" s="148" t="s">
        <v>3557</v>
      </c>
      <c r="J313" s="10" t="s">
        <v>3558</v>
      </c>
      <c r="K313" s="10"/>
      <c r="L313" s="19"/>
      <c r="M313" s="13"/>
      <c r="N313" s="249"/>
      <c r="O313" s="10" t="s">
        <v>1855</v>
      </c>
      <c r="P313" s="10" t="s">
        <v>278</v>
      </c>
      <c r="Q313" s="10">
        <v>1000</v>
      </c>
      <c r="R313" s="11">
        <v>500000</v>
      </c>
      <c r="S313" s="10">
        <v>675000</v>
      </c>
      <c r="T313" s="10">
        <f t="shared" si="27"/>
        <v>1175000</v>
      </c>
      <c r="U313" s="19"/>
      <c r="V313" s="19"/>
      <c r="W313" s="19"/>
      <c r="X313" s="19"/>
      <c r="Y313" s="165">
        <v>0.4</v>
      </c>
      <c r="Z313" s="376">
        <f t="shared" si="31"/>
        <v>470000</v>
      </c>
      <c r="AA313" s="19"/>
      <c r="AB313" s="376">
        <f t="shared" si="24"/>
        <v>705000</v>
      </c>
      <c r="AC313" s="38">
        <f t="shared" si="30"/>
        <v>235000</v>
      </c>
      <c r="AD313" s="19" t="s">
        <v>1746</v>
      </c>
    </row>
    <row r="314" spans="1:30" ht="47.25" x14ac:dyDescent="0.25">
      <c r="A314" s="311">
        <v>311</v>
      </c>
      <c r="B314" s="22">
        <v>43896</v>
      </c>
      <c r="C314" s="148" t="s">
        <v>3559</v>
      </c>
      <c r="D314" s="148"/>
      <c r="E314" s="148" t="s">
        <v>457</v>
      </c>
      <c r="F314" s="101" t="s">
        <v>2102</v>
      </c>
      <c r="G314" s="10"/>
      <c r="H314" s="101" t="s">
        <v>619</v>
      </c>
      <c r="I314" s="148" t="s">
        <v>3560</v>
      </c>
      <c r="J314" s="10" t="s">
        <v>3561</v>
      </c>
      <c r="K314" s="10"/>
      <c r="L314" s="19"/>
      <c r="M314" s="13"/>
      <c r="N314" s="249"/>
      <c r="O314" s="356" t="s">
        <v>1048</v>
      </c>
      <c r="P314" s="356" t="s">
        <v>153</v>
      </c>
      <c r="Q314" s="356">
        <v>300</v>
      </c>
      <c r="R314" s="350">
        <v>500000</v>
      </c>
      <c r="S314" s="356">
        <v>300000</v>
      </c>
      <c r="T314" s="356">
        <f t="shared" si="27"/>
        <v>800000</v>
      </c>
      <c r="U314" s="19"/>
      <c r="V314" s="19"/>
      <c r="W314" s="19"/>
      <c r="X314" s="19"/>
      <c r="Y314" s="19"/>
      <c r="Z314" s="376">
        <f t="shared" si="31"/>
        <v>0</v>
      </c>
      <c r="AA314" s="19"/>
      <c r="AB314" s="376">
        <f t="shared" ref="AB314:AB377" si="32">T314*0.6</f>
        <v>480000</v>
      </c>
      <c r="AC314" s="38">
        <f t="shared" si="30"/>
        <v>480000</v>
      </c>
      <c r="AD314" s="19"/>
    </row>
    <row r="315" spans="1:30" ht="47.25" x14ac:dyDescent="0.25">
      <c r="A315" s="113">
        <v>312</v>
      </c>
      <c r="B315" s="22">
        <v>43896</v>
      </c>
      <c r="C315" s="148" t="s">
        <v>3562</v>
      </c>
      <c r="D315" s="148" t="s">
        <v>3581</v>
      </c>
      <c r="E315" s="148" t="s">
        <v>2327</v>
      </c>
      <c r="F315" s="101" t="s">
        <v>3563</v>
      </c>
      <c r="G315" s="10"/>
      <c r="H315" s="101" t="s">
        <v>2199</v>
      </c>
      <c r="I315" s="148" t="s">
        <v>3582</v>
      </c>
      <c r="J315" s="10" t="s">
        <v>3581</v>
      </c>
      <c r="K315" s="10"/>
      <c r="L315" s="19"/>
      <c r="M315" s="13"/>
      <c r="N315" s="249"/>
      <c r="O315" s="356" t="s">
        <v>1048</v>
      </c>
      <c r="P315" s="356" t="s">
        <v>153</v>
      </c>
      <c r="Q315" s="356">
        <v>300</v>
      </c>
      <c r="R315" s="350">
        <v>500000</v>
      </c>
      <c r="S315" s="356">
        <v>300000</v>
      </c>
      <c r="T315" s="356">
        <f t="shared" si="27"/>
        <v>800000</v>
      </c>
      <c r="U315" s="19"/>
      <c r="V315" s="19"/>
      <c r="W315" s="19"/>
      <c r="X315" s="19"/>
      <c r="Y315" s="19"/>
      <c r="Z315" s="376">
        <f t="shared" si="31"/>
        <v>0</v>
      </c>
      <c r="AA315" s="19"/>
      <c r="AB315" s="376">
        <f t="shared" si="32"/>
        <v>480000</v>
      </c>
      <c r="AC315" s="38">
        <f t="shared" si="30"/>
        <v>480000</v>
      </c>
      <c r="AD315" s="19" t="s">
        <v>2442</v>
      </c>
    </row>
    <row r="316" spans="1:30" s="36" customFormat="1" ht="47.25" x14ac:dyDescent="0.25">
      <c r="A316" s="74">
        <v>313</v>
      </c>
      <c r="B316" s="70">
        <v>43900</v>
      </c>
      <c r="C316" s="134" t="s">
        <v>3583</v>
      </c>
      <c r="D316" s="134" t="s">
        <v>1177</v>
      </c>
      <c r="E316" s="134" t="s">
        <v>866</v>
      </c>
      <c r="F316" s="379" t="s">
        <v>3584</v>
      </c>
      <c r="G316" s="78"/>
      <c r="H316" s="379" t="s">
        <v>1177</v>
      </c>
      <c r="I316" s="134" t="s">
        <v>3585</v>
      </c>
      <c r="J316" s="78" t="s">
        <v>3586</v>
      </c>
      <c r="K316" s="78"/>
      <c r="L316" s="18"/>
      <c r="M316" s="333"/>
      <c r="N316" s="559"/>
      <c r="O316" s="581" t="s">
        <v>1048</v>
      </c>
      <c r="P316" s="581" t="s">
        <v>153</v>
      </c>
      <c r="Q316" s="581">
        <v>300</v>
      </c>
      <c r="R316" s="582">
        <v>500000</v>
      </c>
      <c r="S316" s="581">
        <v>300000</v>
      </c>
      <c r="T316" s="581">
        <f t="shared" si="27"/>
        <v>800000</v>
      </c>
      <c r="U316" s="18"/>
      <c r="V316" s="18"/>
      <c r="W316" s="18"/>
      <c r="X316" s="18"/>
      <c r="Y316" s="87">
        <v>0.4</v>
      </c>
      <c r="Z316" s="414">
        <f t="shared" si="31"/>
        <v>320000</v>
      </c>
      <c r="AA316" s="18"/>
      <c r="AB316" s="414">
        <f t="shared" si="32"/>
        <v>480000</v>
      </c>
      <c r="AC316" s="587">
        <f t="shared" si="30"/>
        <v>160000</v>
      </c>
      <c r="AD316" s="18" t="s">
        <v>3596</v>
      </c>
    </row>
    <row r="317" spans="1:30" ht="31.5" x14ac:dyDescent="0.25">
      <c r="A317" s="311">
        <v>314</v>
      </c>
      <c r="B317" s="22">
        <v>43901</v>
      </c>
      <c r="C317" s="148" t="s">
        <v>3587</v>
      </c>
      <c r="D317" s="148" t="s">
        <v>3308</v>
      </c>
      <c r="E317" s="148" t="s">
        <v>457</v>
      </c>
      <c r="F317" s="101" t="s">
        <v>3588</v>
      </c>
      <c r="G317" s="10"/>
      <c r="H317" s="101" t="s">
        <v>1256</v>
      </c>
      <c r="I317" s="148" t="s">
        <v>3589</v>
      </c>
      <c r="J317" s="10" t="s">
        <v>3590</v>
      </c>
      <c r="K317" s="10"/>
      <c r="L317" s="19"/>
      <c r="M317" s="13"/>
      <c r="N317" s="249"/>
      <c r="O317" s="19" t="s">
        <v>299</v>
      </c>
      <c r="P317" s="19" t="s">
        <v>153</v>
      </c>
      <c r="Q317" s="19">
        <v>500</v>
      </c>
      <c r="R317" s="13">
        <v>500000</v>
      </c>
      <c r="S317" s="19">
        <v>425000</v>
      </c>
      <c r="T317" s="19">
        <f t="shared" si="27"/>
        <v>925000</v>
      </c>
      <c r="U317" s="19"/>
      <c r="V317" s="19"/>
      <c r="W317" s="19"/>
      <c r="X317" s="19"/>
      <c r="Y317" s="165">
        <v>0.35</v>
      </c>
      <c r="Z317" s="376">
        <f>T317*Y317</f>
        <v>323750</v>
      </c>
      <c r="AA317" s="19" t="s">
        <v>3912</v>
      </c>
      <c r="AB317" s="376">
        <f t="shared" si="32"/>
        <v>555000</v>
      </c>
      <c r="AC317" s="376">
        <f t="shared" si="30"/>
        <v>231250</v>
      </c>
      <c r="AD317" s="19" t="s">
        <v>3854</v>
      </c>
    </row>
    <row r="318" spans="1:30" ht="47.25" x14ac:dyDescent="0.25">
      <c r="A318" s="113">
        <v>315</v>
      </c>
      <c r="B318" s="22">
        <v>43902</v>
      </c>
      <c r="C318" s="148" t="s">
        <v>3608</v>
      </c>
      <c r="D318" s="148" t="s">
        <v>3913</v>
      </c>
      <c r="E318" s="148" t="s">
        <v>457</v>
      </c>
      <c r="F318" s="101" t="s">
        <v>3609</v>
      </c>
      <c r="G318" s="10"/>
      <c r="H318" s="101" t="s">
        <v>273</v>
      </c>
      <c r="I318" s="148" t="s">
        <v>3610</v>
      </c>
      <c r="J318" s="37" t="s">
        <v>3611</v>
      </c>
      <c r="K318" s="10"/>
      <c r="L318" s="19"/>
      <c r="M318" s="13"/>
      <c r="N318" s="249"/>
      <c r="O318" s="356" t="s">
        <v>1048</v>
      </c>
      <c r="P318" s="356" t="s">
        <v>153</v>
      </c>
      <c r="Q318" s="356">
        <v>300</v>
      </c>
      <c r="R318" s="350">
        <v>500000</v>
      </c>
      <c r="S318" s="356">
        <v>300000</v>
      </c>
      <c r="T318" s="356">
        <f t="shared" ref="T318:T341" si="33">R318+S318</f>
        <v>800000</v>
      </c>
      <c r="U318" s="19"/>
      <c r="V318" s="19"/>
      <c r="W318" s="19"/>
      <c r="X318" s="19"/>
      <c r="Y318" s="165">
        <v>0.3</v>
      </c>
      <c r="Z318" s="376">
        <f t="shared" si="31"/>
        <v>240000</v>
      </c>
      <c r="AA318" s="19"/>
      <c r="AB318" s="376">
        <f t="shared" si="32"/>
        <v>480000</v>
      </c>
      <c r="AC318" s="38">
        <f t="shared" si="30"/>
        <v>240000</v>
      </c>
      <c r="AD318" s="19" t="s">
        <v>1746</v>
      </c>
    </row>
    <row r="319" spans="1:30" ht="47.25" x14ac:dyDescent="0.25">
      <c r="A319" s="74">
        <v>316</v>
      </c>
      <c r="B319" s="22">
        <v>43903</v>
      </c>
      <c r="C319" s="148" t="s">
        <v>3612</v>
      </c>
      <c r="D319" s="148" t="s">
        <v>309</v>
      </c>
      <c r="E319" s="148" t="s">
        <v>866</v>
      </c>
      <c r="F319" s="101"/>
      <c r="G319" s="10"/>
      <c r="H319" s="101" t="s">
        <v>246</v>
      </c>
      <c r="I319" s="148" t="s">
        <v>3613</v>
      </c>
      <c r="J319" s="10"/>
      <c r="K319" s="10"/>
      <c r="L319" s="19"/>
      <c r="M319" s="13"/>
      <c r="N319" s="249"/>
      <c r="O319" s="356" t="s">
        <v>1048</v>
      </c>
      <c r="P319" s="356" t="s">
        <v>153</v>
      </c>
      <c r="Q319" s="356">
        <v>300</v>
      </c>
      <c r="R319" s="350">
        <v>500000</v>
      </c>
      <c r="S319" s="356">
        <v>300000</v>
      </c>
      <c r="T319" s="356">
        <f t="shared" si="33"/>
        <v>800000</v>
      </c>
      <c r="U319" s="19"/>
      <c r="V319" s="19"/>
      <c r="W319" s="19"/>
      <c r="X319" s="19"/>
      <c r="Y319" s="165">
        <v>0.4</v>
      </c>
      <c r="Z319" s="376">
        <f t="shared" si="31"/>
        <v>320000</v>
      </c>
      <c r="AA319" s="19"/>
      <c r="AB319" s="376">
        <f t="shared" si="32"/>
        <v>480000</v>
      </c>
      <c r="AC319" s="38">
        <f t="shared" si="30"/>
        <v>160000</v>
      </c>
      <c r="AD319" s="19" t="s">
        <v>1746</v>
      </c>
    </row>
    <row r="320" spans="1:30" ht="47.25" x14ac:dyDescent="0.25">
      <c r="A320" s="311">
        <v>317</v>
      </c>
      <c r="B320" s="22">
        <v>43904</v>
      </c>
      <c r="C320" s="148" t="s">
        <v>3615</v>
      </c>
      <c r="D320" s="148" t="s">
        <v>562</v>
      </c>
      <c r="E320" s="148" t="s">
        <v>457</v>
      </c>
      <c r="F320" s="101" t="s">
        <v>3614</v>
      </c>
      <c r="G320" s="10"/>
      <c r="H320" s="101" t="s">
        <v>246</v>
      </c>
      <c r="I320" s="148" t="s">
        <v>3616</v>
      </c>
      <c r="J320" s="10" t="s">
        <v>3617</v>
      </c>
      <c r="K320" s="10"/>
      <c r="L320" s="19"/>
      <c r="M320" s="13"/>
      <c r="N320" s="249"/>
      <c r="O320" s="356" t="s">
        <v>1048</v>
      </c>
      <c r="P320" s="356" t="s">
        <v>153</v>
      </c>
      <c r="Q320" s="356">
        <v>300</v>
      </c>
      <c r="R320" s="350">
        <v>500000</v>
      </c>
      <c r="S320" s="356">
        <v>300000</v>
      </c>
      <c r="T320" s="356">
        <f t="shared" si="33"/>
        <v>800000</v>
      </c>
      <c r="U320" s="19"/>
      <c r="V320" s="19"/>
      <c r="W320" s="19"/>
      <c r="X320" s="19"/>
      <c r="Y320" s="165">
        <v>0.4</v>
      </c>
      <c r="Z320" s="376">
        <f t="shared" si="31"/>
        <v>320000</v>
      </c>
      <c r="AA320" s="19"/>
      <c r="AB320" s="376">
        <f t="shared" si="32"/>
        <v>480000</v>
      </c>
      <c r="AC320" s="38">
        <f t="shared" si="30"/>
        <v>160000</v>
      </c>
      <c r="AD320" s="19" t="s">
        <v>1746</v>
      </c>
    </row>
    <row r="321" spans="1:30" ht="47.25" x14ac:dyDescent="0.25">
      <c r="A321" s="113">
        <v>318</v>
      </c>
      <c r="B321" s="22">
        <v>43906</v>
      </c>
      <c r="C321" s="148" t="s">
        <v>3618</v>
      </c>
      <c r="D321" s="148" t="s">
        <v>457</v>
      </c>
      <c r="E321" s="148"/>
      <c r="F321" s="101" t="s">
        <v>3619</v>
      </c>
      <c r="G321" s="10"/>
      <c r="H321" s="101" t="s">
        <v>849</v>
      </c>
      <c r="I321" s="148" t="s">
        <v>3620</v>
      </c>
      <c r="J321" s="10"/>
      <c r="K321" s="10"/>
      <c r="L321" s="19"/>
      <c r="M321" s="13"/>
      <c r="N321" s="249"/>
      <c r="O321" s="19" t="s">
        <v>299</v>
      </c>
      <c r="P321" s="19" t="s">
        <v>153</v>
      </c>
      <c r="Q321" s="19">
        <v>500</v>
      </c>
      <c r="R321" s="13">
        <v>500000</v>
      </c>
      <c r="S321" s="19">
        <v>425000</v>
      </c>
      <c r="T321" s="19">
        <f t="shared" si="33"/>
        <v>925000</v>
      </c>
      <c r="U321" s="19"/>
      <c r="V321" s="19"/>
      <c r="W321" s="19"/>
      <c r="X321" s="19"/>
      <c r="Y321" s="165">
        <v>0.4</v>
      </c>
      <c r="Z321" s="376">
        <f t="shared" si="31"/>
        <v>370000</v>
      </c>
      <c r="AA321" s="19"/>
      <c r="AB321" s="376">
        <f t="shared" si="32"/>
        <v>555000</v>
      </c>
      <c r="AC321" s="38">
        <f t="shared" si="30"/>
        <v>185000</v>
      </c>
      <c r="AD321" s="19" t="s">
        <v>1746</v>
      </c>
    </row>
    <row r="322" spans="1:30" ht="31.5" x14ac:dyDescent="0.25">
      <c r="A322" s="74">
        <v>319</v>
      </c>
      <c r="B322" s="22">
        <v>43907</v>
      </c>
      <c r="C322" s="148" t="s">
        <v>3621</v>
      </c>
      <c r="D322" s="148" t="s">
        <v>3622</v>
      </c>
      <c r="E322" s="148"/>
      <c r="F322" s="101" t="s">
        <v>3623</v>
      </c>
      <c r="G322" s="10"/>
      <c r="H322" s="101" t="s">
        <v>322</v>
      </c>
      <c r="I322" s="148" t="s">
        <v>3624</v>
      </c>
      <c r="J322" s="10"/>
      <c r="K322" s="10"/>
      <c r="L322" s="19"/>
      <c r="M322" s="13"/>
      <c r="N322" s="249"/>
      <c r="O322" s="356" t="s">
        <v>1048</v>
      </c>
      <c r="P322" s="356" t="s">
        <v>153</v>
      </c>
      <c r="Q322" s="356">
        <v>300</v>
      </c>
      <c r="R322" s="350">
        <v>500000</v>
      </c>
      <c r="S322" s="356">
        <v>300000</v>
      </c>
      <c r="T322" s="356">
        <f t="shared" si="33"/>
        <v>800000</v>
      </c>
      <c r="U322" s="19"/>
      <c r="V322" s="19"/>
      <c r="W322" s="19"/>
      <c r="X322" s="19"/>
      <c r="Y322" s="165">
        <v>0.4</v>
      </c>
      <c r="Z322" s="376">
        <f t="shared" si="31"/>
        <v>320000</v>
      </c>
      <c r="AA322" s="19"/>
      <c r="AB322" s="376">
        <f t="shared" si="32"/>
        <v>480000</v>
      </c>
      <c r="AC322" s="38">
        <f t="shared" si="30"/>
        <v>160000</v>
      </c>
      <c r="AD322" s="19" t="s">
        <v>1746</v>
      </c>
    </row>
    <row r="323" spans="1:30" ht="47.25" x14ac:dyDescent="0.25">
      <c r="A323" s="311">
        <v>320</v>
      </c>
      <c r="B323" s="22">
        <v>43907</v>
      </c>
      <c r="C323" s="148" t="s">
        <v>3625</v>
      </c>
      <c r="D323" s="148" t="s">
        <v>2163</v>
      </c>
      <c r="E323" s="148" t="s">
        <v>457</v>
      </c>
      <c r="F323" s="101" t="s">
        <v>3626</v>
      </c>
      <c r="G323" s="10"/>
      <c r="H323" s="101" t="s">
        <v>1639</v>
      </c>
      <c r="I323" s="148" t="s">
        <v>3627</v>
      </c>
      <c r="J323" s="10" t="s">
        <v>3628</v>
      </c>
      <c r="K323" s="10"/>
      <c r="L323" s="19"/>
      <c r="M323" s="13"/>
      <c r="N323" s="249"/>
      <c r="O323" s="19" t="s">
        <v>299</v>
      </c>
      <c r="P323" s="19" t="s">
        <v>153</v>
      </c>
      <c r="Q323" s="19">
        <v>500</v>
      </c>
      <c r="R323" s="13">
        <v>500000</v>
      </c>
      <c r="S323" s="19">
        <v>425000</v>
      </c>
      <c r="T323" s="19">
        <f t="shared" si="33"/>
        <v>925000</v>
      </c>
      <c r="U323" s="19"/>
      <c r="V323" s="19"/>
      <c r="W323" s="19"/>
      <c r="X323" s="19"/>
      <c r="Y323" s="165">
        <v>0.4</v>
      </c>
      <c r="Z323" s="376">
        <f t="shared" si="31"/>
        <v>370000</v>
      </c>
      <c r="AA323" s="19"/>
      <c r="AB323" s="376">
        <f t="shared" si="32"/>
        <v>555000</v>
      </c>
      <c r="AC323" s="38">
        <f t="shared" si="30"/>
        <v>185000</v>
      </c>
      <c r="AD323" s="19" t="s">
        <v>1746</v>
      </c>
    </row>
    <row r="324" spans="1:30" ht="47.25" x14ac:dyDescent="0.25">
      <c r="A324" s="113">
        <v>321</v>
      </c>
      <c r="B324" s="22">
        <v>43907</v>
      </c>
      <c r="C324" s="148" t="s">
        <v>3633</v>
      </c>
      <c r="D324" s="148" t="s">
        <v>273</v>
      </c>
      <c r="E324" s="148" t="s">
        <v>457</v>
      </c>
      <c r="F324" s="101" t="s">
        <v>3632</v>
      </c>
      <c r="G324" s="10"/>
      <c r="H324" s="101" t="s">
        <v>273</v>
      </c>
      <c r="I324" s="148" t="s">
        <v>3634</v>
      </c>
      <c r="J324" s="10"/>
      <c r="K324" s="10"/>
      <c r="L324" s="19"/>
      <c r="M324" s="13"/>
      <c r="N324" s="249"/>
      <c r="O324" s="356" t="s">
        <v>1048</v>
      </c>
      <c r="P324" s="356" t="s">
        <v>153</v>
      </c>
      <c r="Q324" s="356">
        <v>300</v>
      </c>
      <c r="R324" s="350">
        <v>500000</v>
      </c>
      <c r="S324" s="356">
        <v>300000</v>
      </c>
      <c r="T324" s="356">
        <f t="shared" si="33"/>
        <v>800000</v>
      </c>
      <c r="U324" s="19"/>
      <c r="V324" s="19"/>
      <c r="W324" s="19"/>
      <c r="X324" s="19"/>
      <c r="Y324" s="165">
        <v>0.4</v>
      </c>
      <c r="Z324" s="376">
        <f t="shared" si="31"/>
        <v>320000</v>
      </c>
      <c r="AA324" s="19"/>
      <c r="AB324" s="376">
        <f t="shared" si="32"/>
        <v>480000</v>
      </c>
      <c r="AC324" s="38">
        <f t="shared" si="30"/>
        <v>160000</v>
      </c>
      <c r="AD324" s="19" t="s">
        <v>1746</v>
      </c>
    </row>
    <row r="325" spans="1:30" ht="47.25" x14ac:dyDescent="0.25">
      <c r="A325" s="74">
        <v>322</v>
      </c>
      <c r="B325" s="22">
        <v>43908</v>
      </c>
      <c r="C325" s="148" t="s">
        <v>3636</v>
      </c>
      <c r="D325" s="148" t="s">
        <v>3638</v>
      </c>
      <c r="E325" s="148" t="s">
        <v>457</v>
      </c>
      <c r="F325" s="101" t="s">
        <v>3635</v>
      </c>
      <c r="G325" s="10"/>
      <c r="H325" s="101" t="s">
        <v>168</v>
      </c>
      <c r="I325" s="148" t="s">
        <v>3637</v>
      </c>
      <c r="J325" s="10"/>
      <c r="K325" s="10"/>
      <c r="L325" s="19"/>
      <c r="M325" s="13"/>
      <c r="N325" s="249"/>
      <c r="O325" s="356" t="s">
        <v>1048</v>
      </c>
      <c r="P325" s="356" t="s">
        <v>153</v>
      </c>
      <c r="Q325" s="356">
        <v>300</v>
      </c>
      <c r="R325" s="350">
        <v>500000</v>
      </c>
      <c r="S325" s="356">
        <v>300000</v>
      </c>
      <c r="T325" s="356">
        <f t="shared" si="33"/>
        <v>800000</v>
      </c>
      <c r="U325" s="19"/>
      <c r="V325" s="19"/>
      <c r="W325" s="19"/>
      <c r="X325" s="19"/>
      <c r="Y325" s="165">
        <v>0.4</v>
      </c>
      <c r="Z325" s="376">
        <f t="shared" si="31"/>
        <v>320000</v>
      </c>
      <c r="AA325" s="19"/>
      <c r="AB325" s="376">
        <f t="shared" si="32"/>
        <v>480000</v>
      </c>
      <c r="AC325" s="38">
        <f t="shared" si="30"/>
        <v>160000</v>
      </c>
      <c r="AD325" s="19" t="s">
        <v>1746</v>
      </c>
    </row>
    <row r="326" spans="1:30" ht="47.25" x14ac:dyDescent="0.25">
      <c r="A326" s="311">
        <v>323</v>
      </c>
      <c r="B326" s="22">
        <v>43908</v>
      </c>
      <c r="C326" s="148" t="s">
        <v>3652</v>
      </c>
      <c r="D326" s="148" t="s">
        <v>1177</v>
      </c>
      <c r="E326" s="148" t="s">
        <v>457</v>
      </c>
      <c r="F326" s="101" t="s">
        <v>3653</v>
      </c>
      <c r="G326" s="10"/>
      <c r="H326" s="101" t="s">
        <v>1177</v>
      </c>
      <c r="I326" s="148" t="s">
        <v>3654</v>
      </c>
      <c r="J326" s="10"/>
      <c r="K326" s="10"/>
      <c r="L326" s="19"/>
      <c r="M326" s="13"/>
      <c r="N326" s="249"/>
      <c r="O326" s="19" t="s">
        <v>1422</v>
      </c>
      <c r="P326" s="19" t="s">
        <v>180</v>
      </c>
      <c r="Q326" s="19">
        <v>2000</v>
      </c>
      <c r="R326" s="13">
        <v>500000</v>
      </c>
      <c r="S326" s="19">
        <v>1100000</v>
      </c>
      <c r="T326" s="19">
        <f t="shared" si="33"/>
        <v>1600000</v>
      </c>
      <c r="U326" s="19"/>
      <c r="V326" s="19"/>
      <c r="W326" s="19"/>
      <c r="X326" s="19"/>
      <c r="Y326" s="165">
        <v>0.4</v>
      </c>
      <c r="Z326" s="376">
        <f t="shared" si="31"/>
        <v>640000</v>
      </c>
      <c r="AA326" s="19"/>
      <c r="AB326" s="376">
        <f t="shared" si="32"/>
        <v>960000</v>
      </c>
      <c r="AC326" s="38">
        <f t="shared" si="30"/>
        <v>320000</v>
      </c>
      <c r="AD326" s="19" t="s">
        <v>3752</v>
      </c>
    </row>
    <row r="327" spans="1:30" ht="47.25" x14ac:dyDescent="0.25">
      <c r="A327" s="113">
        <v>324</v>
      </c>
      <c r="B327" s="22">
        <v>43909</v>
      </c>
      <c r="C327" s="148" t="s">
        <v>3656</v>
      </c>
      <c r="D327" s="148" t="s">
        <v>3657</v>
      </c>
      <c r="E327" s="148" t="s">
        <v>457</v>
      </c>
      <c r="F327" s="101" t="s">
        <v>3655</v>
      </c>
      <c r="G327" s="10"/>
      <c r="H327" s="101" t="s">
        <v>1030</v>
      </c>
      <c r="I327" s="148" t="s">
        <v>3658</v>
      </c>
      <c r="J327" s="10" t="s">
        <v>3659</v>
      </c>
      <c r="K327" s="10"/>
      <c r="L327" s="19"/>
      <c r="M327" s="13"/>
      <c r="N327" s="249"/>
      <c r="O327" s="356" t="s">
        <v>1048</v>
      </c>
      <c r="P327" s="356" t="s">
        <v>153</v>
      </c>
      <c r="Q327" s="356">
        <v>300</v>
      </c>
      <c r="R327" s="350">
        <v>500000</v>
      </c>
      <c r="S327" s="356">
        <v>300000</v>
      </c>
      <c r="T327" s="356">
        <f t="shared" si="33"/>
        <v>800000</v>
      </c>
      <c r="U327" s="19"/>
      <c r="V327" s="19"/>
      <c r="W327" s="19"/>
      <c r="X327" s="19"/>
      <c r="Y327" s="165">
        <v>0.4</v>
      </c>
      <c r="Z327" s="376">
        <f t="shared" si="31"/>
        <v>320000</v>
      </c>
      <c r="AA327" s="19"/>
      <c r="AB327" s="376">
        <f t="shared" si="32"/>
        <v>480000</v>
      </c>
      <c r="AC327" s="38">
        <f t="shared" si="30"/>
        <v>160000</v>
      </c>
      <c r="AD327" s="19" t="s">
        <v>3805</v>
      </c>
    </row>
    <row r="328" spans="1:30" ht="47.25" x14ac:dyDescent="0.25">
      <c r="A328" s="74">
        <v>325</v>
      </c>
      <c r="B328" s="22">
        <v>43911</v>
      </c>
      <c r="C328" s="148" t="s">
        <v>3673</v>
      </c>
      <c r="D328" s="148" t="s">
        <v>3672</v>
      </c>
      <c r="E328" s="148" t="s">
        <v>2327</v>
      </c>
      <c r="F328" s="101" t="s">
        <v>3671</v>
      </c>
      <c r="G328" s="10"/>
      <c r="H328" s="101" t="s">
        <v>273</v>
      </c>
      <c r="I328" s="148" t="s">
        <v>3674</v>
      </c>
      <c r="J328" s="10"/>
      <c r="K328" s="10"/>
      <c r="L328" s="19"/>
      <c r="M328" s="13"/>
      <c r="N328" s="249"/>
      <c r="O328" s="356" t="s">
        <v>1048</v>
      </c>
      <c r="P328" s="356" t="s">
        <v>153</v>
      </c>
      <c r="Q328" s="356">
        <v>300</v>
      </c>
      <c r="R328" s="350">
        <v>500000</v>
      </c>
      <c r="S328" s="356">
        <v>300000</v>
      </c>
      <c r="T328" s="356">
        <f t="shared" si="33"/>
        <v>800000</v>
      </c>
      <c r="U328" s="19"/>
      <c r="V328" s="19"/>
      <c r="W328" s="19"/>
      <c r="X328" s="19"/>
      <c r="Y328" s="165">
        <v>0.3</v>
      </c>
      <c r="Z328" s="376">
        <f t="shared" si="31"/>
        <v>240000</v>
      </c>
      <c r="AA328" s="19"/>
      <c r="AB328" s="376">
        <f t="shared" si="32"/>
        <v>480000</v>
      </c>
      <c r="AC328" s="38">
        <f t="shared" si="30"/>
        <v>240000</v>
      </c>
      <c r="AD328" s="19" t="s">
        <v>3851</v>
      </c>
    </row>
    <row r="329" spans="1:30" s="272" customFormat="1" ht="63" x14ac:dyDescent="0.25">
      <c r="A329" s="311">
        <v>326</v>
      </c>
      <c r="B329" s="373">
        <v>43915</v>
      </c>
      <c r="C329" s="358" t="s">
        <v>3689</v>
      </c>
      <c r="D329" s="148" t="s">
        <v>3672</v>
      </c>
      <c r="E329" s="358" t="s">
        <v>2327</v>
      </c>
      <c r="F329" s="335" t="s">
        <v>3691</v>
      </c>
      <c r="G329" s="269"/>
      <c r="H329" s="335" t="s">
        <v>273</v>
      </c>
      <c r="I329" s="358" t="s">
        <v>3690</v>
      </c>
      <c r="J329" s="269"/>
      <c r="K329" s="269"/>
      <c r="L329" s="266"/>
      <c r="M329" s="278"/>
      <c r="N329" s="439"/>
      <c r="O329" s="507" t="s">
        <v>1048</v>
      </c>
      <c r="P329" s="507" t="s">
        <v>153</v>
      </c>
      <c r="Q329" s="507">
        <v>300</v>
      </c>
      <c r="R329" s="549">
        <v>500000</v>
      </c>
      <c r="S329" s="507">
        <v>300000</v>
      </c>
      <c r="T329" s="507">
        <f t="shared" si="33"/>
        <v>800000</v>
      </c>
      <c r="U329" s="266"/>
      <c r="V329" s="266"/>
      <c r="W329" s="266"/>
      <c r="X329" s="266"/>
      <c r="Y329" s="271">
        <v>0.3</v>
      </c>
      <c r="Z329" s="605">
        <f t="shared" si="31"/>
        <v>240000</v>
      </c>
      <c r="AA329" s="266"/>
      <c r="AB329" s="605">
        <f t="shared" si="32"/>
        <v>480000</v>
      </c>
      <c r="AC329" s="607">
        <f t="shared" si="30"/>
        <v>240000</v>
      </c>
      <c r="AD329" s="266"/>
    </row>
    <row r="330" spans="1:30" s="272" customFormat="1" ht="47.25" x14ac:dyDescent="0.25">
      <c r="A330" s="113">
        <v>327</v>
      </c>
      <c r="B330" s="373">
        <v>43915</v>
      </c>
      <c r="C330" s="358" t="s">
        <v>3689</v>
      </c>
      <c r="D330" s="358"/>
      <c r="E330" s="358"/>
      <c r="F330" s="335"/>
      <c r="G330" s="269"/>
      <c r="H330" s="335"/>
      <c r="I330" s="358"/>
      <c r="J330" s="269"/>
      <c r="K330" s="269"/>
      <c r="L330" s="266"/>
      <c r="M330" s="278"/>
      <c r="N330" s="439"/>
      <c r="O330" s="507" t="s">
        <v>1048</v>
      </c>
      <c r="P330" s="507" t="s">
        <v>153</v>
      </c>
      <c r="Q330" s="507">
        <v>300</v>
      </c>
      <c r="R330" s="549">
        <v>500000</v>
      </c>
      <c r="S330" s="507">
        <v>300000</v>
      </c>
      <c r="T330" s="507">
        <f t="shared" si="33"/>
        <v>800000</v>
      </c>
      <c r="U330" s="266"/>
      <c r="V330" s="266"/>
      <c r="W330" s="266"/>
      <c r="X330" s="266"/>
      <c r="Y330" s="271">
        <v>0.4</v>
      </c>
      <c r="Z330" s="605">
        <f t="shared" si="31"/>
        <v>320000</v>
      </c>
      <c r="AA330" s="266"/>
      <c r="AB330" s="605">
        <f t="shared" si="32"/>
        <v>480000</v>
      </c>
      <c r="AC330" s="607">
        <f t="shared" si="30"/>
        <v>160000</v>
      </c>
      <c r="AD330" s="266"/>
    </row>
    <row r="331" spans="1:30" ht="47.25" x14ac:dyDescent="0.25">
      <c r="A331" s="74">
        <v>328</v>
      </c>
      <c r="B331" s="22">
        <v>43916</v>
      </c>
      <c r="C331" s="148" t="s">
        <v>3693</v>
      </c>
      <c r="D331" s="148" t="s">
        <v>2163</v>
      </c>
      <c r="E331" s="148" t="s">
        <v>866</v>
      </c>
      <c r="F331" s="101" t="s">
        <v>3692</v>
      </c>
      <c r="G331" s="10"/>
      <c r="H331" s="101" t="s">
        <v>1030</v>
      </c>
      <c r="I331" s="148" t="s">
        <v>3694</v>
      </c>
      <c r="J331" s="10"/>
      <c r="K331" s="10"/>
      <c r="L331" s="19"/>
      <c r="M331" s="13"/>
      <c r="N331" s="249"/>
      <c r="O331" s="356" t="s">
        <v>1048</v>
      </c>
      <c r="P331" s="356" t="s">
        <v>153</v>
      </c>
      <c r="Q331" s="356">
        <v>300</v>
      </c>
      <c r="R331" s="350">
        <v>500000</v>
      </c>
      <c r="S331" s="356">
        <v>300000</v>
      </c>
      <c r="T331" s="356">
        <f t="shared" si="33"/>
        <v>800000</v>
      </c>
      <c r="U331" s="19"/>
      <c r="V331" s="19"/>
      <c r="W331" s="19"/>
      <c r="X331" s="19"/>
      <c r="Y331" s="165">
        <v>0.4</v>
      </c>
      <c r="Z331" s="376">
        <f t="shared" si="31"/>
        <v>320000</v>
      </c>
      <c r="AA331" s="19"/>
      <c r="AB331" s="376">
        <f t="shared" si="32"/>
        <v>480000</v>
      </c>
      <c r="AC331" s="38">
        <f t="shared" si="30"/>
        <v>160000</v>
      </c>
      <c r="AD331" s="19" t="s">
        <v>3878</v>
      </c>
    </row>
    <row r="332" spans="1:30" ht="63" x14ac:dyDescent="0.25">
      <c r="A332" s="311">
        <v>329</v>
      </c>
      <c r="B332" s="22">
        <v>43916</v>
      </c>
      <c r="C332" s="148" t="s">
        <v>3695</v>
      </c>
      <c r="D332" s="148" t="s">
        <v>457</v>
      </c>
      <c r="E332" s="148"/>
      <c r="F332" s="101" t="s">
        <v>3696</v>
      </c>
      <c r="G332" s="10"/>
      <c r="H332" s="101" t="s">
        <v>1639</v>
      </c>
      <c r="I332" s="148" t="s">
        <v>3697</v>
      </c>
      <c r="J332" s="10"/>
      <c r="K332" s="10"/>
      <c r="L332" s="19"/>
      <c r="M332" s="13"/>
      <c r="N332" s="249"/>
      <c r="O332" s="356" t="s">
        <v>1048</v>
      </c>
      <c r="P332" s="356" t="s">
        <v>153</v>
      </c>
      <c r="Q332" s="356">
        <v>300</v>
      </c>
      <c r="R332" s="350">
        <v>500000</v>
      </c>
      <c r="S332" s="356">
        <v>300000</v>
      </c>
      <c r="T332" s="356">
        <f t="shared" si="33"/>
        <v>800000</v>
      </c>
      <c r="U332" s="19"/>
      <c r="V332" s="19"/>
      <c r="W332" s="19"/>
      <c r="X332" s="19"/>
      <c r="Y332" s="165">
        <v>0.4</v>
      </c>
      <c r="Z332" s="376">
        <f t="shared" si="31"/>
        <v>320000</v>
      </c>
      <c r="AA332" s="19"/>
      <c r="AB332" s="376">
        <f t="shared" si="32"/>
        <v>480000</v>
      </c>
      <c r="AC332" s="38">
        <f t="shared" si="30"/>
        <v>160000</v>
      </c>
      <c r="AD332" s="19" t="s">
        <v>1746</v>
      </c>
    </row>
    <row r="333" spans="1:30" ht="31.5" x14ac:dyDescent="0.25">
      <c r="A333" s="113">
        <v>330</v>
      </c>
      <c r="B333" s="22">
        <v>43917</v>
      </c>
      <c r="C333" s="148" t="s">
        <v>3699</v>
      </c>
      <c r="D333" s="148" t="s">
        <v>3701</v>
      </c>
      <c r="E333" s="148" t="s">
        <v>457</v>
      </c>
      <c r="F333" s="101" t="s">
        <v>3698</v>
      </c>
      <c r="G333" s="10"/>
      <c r="H333" s="101" t="s">
        <v>1772</v>
      </c>
      <c r="I333" s="148" t="s">
        <v>3700</v>
      </c>
      <c r="J333" s="10"/>
      <c r="K333" s="10"/>
      <c r="L333" s="19"/>
      <c r="M333" s="13"/>
      <c r="N333" s="249"/>
      <c r="O333" s="19" t="s">
        <v>299</v>
      </c>
      <c r="P333" s="19" t="s">
        <v>153</v>
      </c>
      <c r="Q333" s="19">
        <v>500</v>
      </c>
      <c r="R333" s="13">
        <v>500000</v>
      </c>
      <c r="S333" s="19">
        <v>425000</v>
      </c>
      <c r="T333" s="19">
        <f t="shared" si="33"/>
        <v>925000</v>
      </c>
      <c r="U333" s="19"/>
      <c r="V333" s="19"/>
      <c r="W333" s="19"/>
      <c r="X333" s="19"/>
      <c r="Y333" s="165">
        <v>0.3</v>
      </c>
      <c r="Z333" s="376">
        <f t="shared" si="31"/>
        <v>277500</v>
      </c>
      <c r="AA333" s="19"/>
      <c r="AB333" s="376">
        <f t="shared" si="32"/>
        <v>555000</v>
      </c>
      <c r="AC333" s="38">
        <f t="shared" si="30"/>
        <v>277500</v>
      </c>
      <c r="AD333" s="19" t="s">
        <v>1746</v>
      </c>
    </row>
    <row r="334" spans="1:30" s="272" customFormat="1" ht="63" x14ac:dyDescent="0.25">
      <c r="A334" s="74">
        <v>331</v>
      </c>
      <c r="B334" s="373">
        <v>43917</v>
      </c>
      <c r="C334" s="358" t="s">
        <v>3703</v>
      </c>
      <c r="D334" s="358"/>
      <c r="E334" s="358" t="s">
        <v>2327</v>
      </c>
      <c r="F334" s="335" t="s">
        <v>3702</v>
      </c>
      <c r="G334" s="269"/>
      <c r="H334" s="335" t="s">
        <v>322</v>
      </c>
      <c r="I334" s="358" t="s">
        <v>3704</v>
      </c>
      <c r="J334" s="269"/>
      <c r="K334" s="269"/>
      <c r="L334" s="266"/>
      <c r="M334" s="278"/>
      <c r="N334" s="439"/>
      <c r="O334" s="507" t="s">
        <v>1048</v>
      </c>
      <c r="P334" s="507" t="s">
        <v>153</v>
      </c>
      <c r="Q334" s="507">
        <v>300</v>
      </c>
      <c r="R334" s="549">
        <v>500000</v>
      </c>
      <c r="S334" s="507">
        <v>300000</v>
      </c>
      <c r="T334" s="507">
        <f t="shared" si="33"/>
        <v>800000</v>
      </c>
      <c r="U334" s="266"/>
      <c r="V334" s="266"/>
      <c r="W334" s="266"/>
      <c r="X334" s="266"/>
      <c r="Y334" s="271"/>
      <c r="Z334" s="605">
        <f t="shared" si="31"/>
        <v>0</v>
      </c>
      <c r="AA334" s="266"/>
      <c r="AB334" s="605">
        <f t="shared" si="32"/>
        <v>480000</v>
      </c>
      <c r="AC334" s="607">
        <f t="shared" si="30"/>
        <v>480000</v>
      </c>
      <c r="AD334" s="266"/>
    </row>
    <row r="335" spans="1:30" ht="47.25" x14ac:dyDescent="0.25">
      <c r="A335" s="311">
        <v>332</v>
      </c>
      <c r="B335" s="22">
        <v>43917</v>
      </c>
      <c r="C335" s="148" t="s">
        <v>3706</v>
      </c>
      <c r="D335" s="148" t="s">
        <v>474</v>
      </c>
      <c r="E335" s="148" t="s">
        <v>866</v>
      </c>
      <c r="F335" s="101" t="s">
        <v>3705</v>
      </c>
      <c r="G335" s="269"/>
      <c r="H335" s="101" t="s">
        <v>322</v>
      </c>
      <c r="I335" s="148" t="s">
        <v>3707</v>
      </c>
      <c r="J335" s="10"/>
      <c r="K335" s="10"/>
      <c r="L335" s="19"/>
      <c r="M335" s="278"/>
      <c r="N335" s="249"/>
      <c r="O335" s="356" t="s">
        <v>1048</v>
      </c>
      <c r="P335" s="356" t="s">
        <v>153</v>
      </c>
      <c r="Q335" s="356">
        <v>300</v>
      </c>
      <c r="R335" s="350">
        <v>500000</v>
      </c>
      <c r="S335" s="356">
        <v>300000</v>
      </c>
      <c r="T335" s="356">
        <f t="shared" si="33"/>
        <v>800000</v>
      </c>
      <c r="U335" s="266"/>
      <c r="V335" s="266"/>
      <c r="W335" s="266"/>
      <c r="X335" s="266"/>
      <c r="Y335" s="165">
        <v>0.4</v>
      </c>
      <c r="Z335" s="376">
        <f t="shared" si="31"/>
        <v>320000</v>
      </c>
      <c r="AA335" s="19"/>
      <c r="AB335" s="376">
        <f t="shared" si="32"/>
        <v>480000</v>
      </c>
      <c r="AC335" s="38">
        <f t="shared" si="30"/>
        <v>160000</v>
      </c>
      <c r="AD335" s="19" t="s">
        <v>1641</v>
      </c>
    </row>
    <row r="336" spans="1:30" s="36" customFormat="1" ht="47.25" x14ac:dyDescent="0.25">
      <c r="A336" s="113">
        <v>333</v>
      </c>
      <c r="B336" s="70">
        <v>43918</v>
      </c>
      <c r="C336" s="134" t="s">
        <v>3709</v>
      </c>
      <c r="D336" s="134" t="s">
        <v>3622</v>
      </c>
      <c r="E336" s="134" t="s">
        <v>3646</v>
      </c>
      <c r="F336" s="379" t="s">
        <v>3708</v>
      </c>
      <c r="G336" s="78"/>
      <c r="H336" s="379" t="s">
        <v>322</v>
      </c>
      <c r="I336" s="134" t="s">
        <v>3710</v>
      </c>
      <c r="J336" s="78" t="s">
        <v>3754</v>
      </c>
      <c r="K336" s="78"/>
      <c r="L336" s="18"/>
      <c r="M336" s="333"/>
      <c r="N336" s="559"/>
      <c r="O336" s="581" t="s">
        <v>1048</v>
      </c>
      <c r="P336" s="581" t="s">
        <v>153</v>
      </c>
      <c r="Q336" s="581">
        <v>300</v>
      </c>
      <c r="R336" s="582">
        <v>500000</v>
      </c>
      <c r="S336" s="581">
        <v>300000</v>
      </c>
      <c r="T336" s="581">
        <f t="shared" si="33"/>
        <v>800000</v>
      </c>
      <c r="U336" s="18"/>
      <c r="V336" s="18"/>
      <c r="W336" s="18"/>
      <c r="X336" s="18"/>
      <c r="Y336" s="87">
        <v>0.4</v>
      </c>
      <c r="Z336" s="414">
        <f t="shared" si="31"/>
        <v>320000</v>
      </c>
      <c r="AA336" s="18"/>
      <c r="AB336" s="414">
        <f t="shared" si="32"/>
        <v>480000</v>
      </c>
      <c r="AC336" s="587">
        <f t="shared" si="30"/>
        <v>160000</v>
      </c>
      <c r="AD336" s="18" t="s">
        <v>3596</v>
      </c>
    </row>
    <row r="337" spans="1:35" ht="47.25" x14ac:dyDescent="0.25">
      <c r="A337" s="74">
        <v>334</v>
      </c>
      <c r="B337" s="22">
        <v>43920</v>
      </c>
      <c r="C337" s="148" t="s">
        <v>3746</v>
      </c>
      <c r="D337" s="148" t="s">
        <v>2953</v>
      </c>
      <c r="E337" s="148" t="s">
        <v>2327</v>
      </c>
      <c r="F337" s="101" t="s">
        <v>3747</v>
      </c>
      <c r="G337" s="10"/>
      <c r="H337" s="101" t="s">
        <v>273</v>
      </c>
      <c r="I337" s="148" t="s">
        <v>3748</v>
      </c>
      <c r="J337" s="10"/>
      <c r="K337" s="10"/>
      <c r="L337" s="19"/>
      <c r="M337" s="13"/>
      <c r="N337" s="249"/>
      <c r="O337" s="356" t="s">
        <v>1048</v>
      </c>
      <c r="P337" s="356" t="s">
        <v>153</v>
      </c>
      <c r="Q337" s="356">
        <v>300</v>
      </c>
      <c r="R337" s="350">
        <v>500000</v>
      </c>
      <c r="S337" s="356">
        <v>300000</v>
      </c>
      <c r="T337" s="356">
        <f t="shared" si="33"/>
        <v>800000</v>
      </c>
      <c r="U337" s="19"/>
      <c r="V337" s="19"/>
      <c r="W337" s="19"/>
      <c r="X337" s="19"/>
      <c r="Y337" s="165">
        <v>0.3</v>
      </c>
      <c r="Z337" s="376">
        <f t="shared" si="31"/>
        <v>240000</v>
      </c>
      <c r="AA337" s="19"/>
      <c r="AB337" s="376">
        <f t="shared" si="32"/>
        <v>480000</v>
      </c>
      <c r="AC337" s="38">
        <f t="shared" si="30"/>
        <v>240000</v>
      </c>
      <c r="AD337" s="19" t="s">
        <v>3910</v>
      </c>
    </row>
    <row r="338" spans="1:35" ht="63" x14ac:dyDescent="0.25">
      <c r="A338" s="311">
        <v>335</v>
      </c>
      <c r="B338" s="22">
        <v>43920</v>
      </c>
      <c r="C338" s="148" t="s">
        <v>3749</v>
      </c>
      <c r="D338" s="148" t="s">
        <v>2953</v>
      </c>
      <c r="E338" s="148" t="s">
        <v>2327</v>
      </c>
      <c r="F338" s="101" t="s">
        <v>3750</v>
      </c>
      <c r="G338" s="10"/>
      <c r="H338" s="101" t="s">
        <v>273</v>
      </c>
      <c r="I338" s="148" t="s">
        <v>3751</v>
      </c>
      <c r="J338" s="10"/>
      <c r="K338" s="10"/>
      <c r="L338" s="19"/>
      <c r="M338" s="13"/>
      <c r="N338" s="249"/>
      <c r="O338" s="356" t="s">
        <v>1048</v>
      </c>
      <c r="P338" s="356" t="s">
        <v>153</v>
      </c>
      <c r="Q338" s="356">
        <v>300</v>
      </c>
      <c r="R338" s="350">
        <v>500000</v>
      </c>
      <c r="S338" s="356">
        <v>300000</v>
      </c>
      <c r="T338" s="356">
        <f t="shared" si="33"/>
        <v>800000</v>
      </c>
      <c r="U338" s="19"/>
      <c r="V338" s="19"/>
      <c r="W338" s="19"/>
      <c r="X338" s="19"/>
      <c r="Y338" s="165">
        <v>0.3</v>
      </c>
      <c r="Z338" s="376">
        <f t="shared" si="31"/>
        <v>240000</v>
      </c>
      <c r="AA338" s="19"/>
      <c r="AB338" s="376">
        <f t="shared" si="32"/>
        <v>480000</v>
      </c>
      <c r="AC338" s="38">
        <f t="shared" si="30"/>
        <v>240000</v>
      </c>
      <c r="AD338" s="19" t="s">
        <v>3911</v>
      </c>
    </row>
    <row r="339" spans="1:35" s="481" customFormat="1" ht="47.25" x14ac:dyDescent="0.25">
      <c r="A339" s="113">
        <v>336</v>
      </c>
      <c r="B339" s="476">
        <v>43922</v>
      </c>
      <c r="C339" s="477" t="s">
        <v>3759</v>
      </c>
      <c r="D339" s="477"/>
      <c r="E339" s="477"/>
      <c r="F339" s="478" t="s">
        <v>3758</v>
      </c>
      <c r="G339" s="274"/>
      <c r="H339" s="478" t="s">
        <v>1243</v>
      </c>
      <c r="I339" s="477" t="s">
        <v>3760</v>
      </c>
      <c r="J339" s="274"/>
      <c r="K339" s="274"/>
      <c r="L339" s="274"/>
      <c r="M339" s="273"/>
      <c r="N339" s="479"/>
      <c r="O339" s="508" t="s">
        <v>1048</v>
      </c>
      <c r="P339" s="508" t="s">
        <v>153</v>
      </c>
      <c r="Q339" s="508">
        <v>300</v>
      </c>
      <c r="R339" s="415">
        <v>500000</v>
      </c>
      <c r="S339" s="508">
        <v>300000</v>
      </c>
      <c r="T339" s="508">
        <f t="shared" si="33"/>
        <v>800000</v>
      </c>
      <c r="U339" s="274"/>
      <c r="V339" s="274"/>
      <c r="W339" s="274"/>
      <c r="X339" s="274"/>
      <c r="Y339" s="274"/>
      <c r="Z339" s="605"/>
      <c r="AA339" s="274"/>
      <c r="AB339" s="605">
        <f t="shared" si="32"/>
        <v>480000</v>
      </c>
      <c r="AC339" s="605">
        <f t="shared" si="30"/>
        <v>480000</v>
      </c>
      <c r="AD339" s="274"/>
    </row>
    <row r="340" spans="1:35" s="272" customFormat="1" ht="47.25" x14ac:dyDescent="0.25">
      <c r="A340" s="74">
        <v>337</v>
      </c>
      <c r="B340" s="373">
        <v>43924</v>
      </c>
      <c r="C340" s="358" t="s">
        <v>3761</v>
      </c>
      <c r="D340" s="358"/>
      <c r="E340" s="358"/>
      <c r="F340" s="335" t="s">
        <v>3763</v>
      </c>
      <c r="G340" s="269"/>
      <c r="H340" s="335" t="s">
        <v>659</v>
      </c>
      <c r="I340" s="358" t="s">
        <v>3762</v>
      </c>
      <c r="J340" s="269"/>
      <c r="K340" s="269"/>
      <c r="L340" s="266"/>
      <c r="M340" s="278"/>
      <c r="N340" s="439"/>
      <c r="O340" s="507" t="s">
        <v>1048</v>
      </c>
      <c r="P340" s="507" t="s">
        <v>153</v>
      </c>
      <c r="Q340" s="507">
        <v>300</v>
      </c>
      <c r="R340" s="549">
        <v>500000</v>
      </c>
      <c r="S340" s="507">
        <v>300000</v>
      </c>
      <c r="T340" s="507">
        <f t="shared" si="33"/>
        <v>800000</v>
      </c>
      <c r="U340" s="266"/>
      <c r="V340" s="266"/>
      <c r="W340" s="266"/>
      <c r="X340" s="266"/>
      <c r="Y340" s="266"/>
      <c r="Z340" s="605"/>
      <c r="AA340" s="266"/>
      <c r="AB340" s="605">
        <f t="shared" si="32"/>
        <v>480000</v>
      </c>
      <c r="AC340" s="607">
        <f t="shared" si="30"/>
        <v>480000</v>
      </c>
      <c r="AD340" s="266"/>
    </row>
    <row r="341" spans="1:35" s="272" customFormat="1" ht="63" x14ac:dyDescent="0.25">
      <c r="A341" s="311">
        <v>338</v>
      </c>
      <c r="B341" s="373">
        <v>43926</v>
      </c>
      <c r="C341" s="358" t="s">
        <v>3703</v>
      </c>
      <c r="D341" s="358"/>
      <c r="E341" s="358"/>
      <c r="F341" s="335" t="s">
        <v>3764</v>
      </c>
      <c r="G341" s="269"/>
      <c r="H341" s="335" t="s">
        <v>322</v>
      </c>
      <c r="I341" s="358" t="s">
        <v>3704</v>
      </c>
      <c r="J341" s="269"/>
      <c r="K341" s="269"/>
      <c r="L341" s="266"/>
      <c r="M341" s="278"/>
      <c r="N341" s="439"/>
      <c r="O341" s="507" t="s">
        <v>1048</v>
      </c>
      <c r="P341" s="507" t="s">
        <v>153</v>
      </c>
      <c r="Q341" s="507">
        <v>300</v>
      </c>
      <c r="R341" s="549">
        <v>500000</v>
      </c>
      <c r="S341" s="507">
        <v>300000</v>
      </c>
      <c r="T341" s="507">
        <f t="shared" si="33"/>
        <v>800000</v>
      </c>
      <c r="U341" s="266"/>
      <c r="V341" s="266"/>
      <c r="W341" s="266"/>
      <c r="X341" s="266"/>
      <c r="Y341" s="266"/>
      <c r="Z341" s="605"/>
      <c r="AA341" s="266"/>
      <c r="AB341" s="605">
        <f t="shared" si="32"/>
        <v>480000</v>
      </c>
      <c r="AC341" s="607">
        <f t="shared" si="30"/>
        <v>480000</v>
      </c>
      <c r="AD341" s="266"/>
    </row>
    <row r="342" spans="1:35" ht="47.25" x14ac:dyDescent="0.25">
      <c r="A342" s="113">
        <v>339</v>
      </c>
      <c r="B342" s="22">
        <v>43927</v>
      </c>
      <c r="C342" s="148" t="s">
        <v>865</v>
      </c>
      <c r="D342" s="148"/>
      <c r="E342" s="148" t="s">
        <v>3646</v>
      </c>
      <c r="F342" s="101" t="s">
        <v>867</v>
      </c>
      <c r="G342" s="10"/>
      <c r="H342" s="101" t="s">
        <v>353</v>
      </c>
      <c r="I342" s="148" t="s">
        <v>3765</v>
      </c>
      <c r="J342" s="10"/>
      <c r="K342" s="10"/>
      <c r="L342" s="19"/>
      <c r="M342" s="13"/>
      <c r="N342" s="249"/>
      <c r="O342" s="356" t="s">
        <v>1484</v>
      </c>
      <c r="P342" s="19" t="s">
        <v>94</v>
      </c>
      <c r="Q342" s="19">
        <v>1000</v>
      </c>
      <c r="R342" s="13"/>
      <c r="S342" s="19">
        <v>675000</v>
      </c>
      <c r="T342" s="19">
        <v>675000</v>
      </c>
      <c r="U342" s="19"/>
      <c r="V342" s="19"/>
      <c r="W342" s="19"/>
      <c r="X342" s="19"/>
      <c r="Y342" s="165">
        <v>0.3</v>
      </c>
      <c r="Z342" s="376">
        <f t="shared" ref="Z342:Z347" si="34">T342*Y342</f>
        <v>202500</v>
      </c>
      <c r="AA342" s="19"/>
      <c r="AB342" s="376">
        <f t="shared" si="32"/>
        <v>405000</v>
      </c>
      <c r="AC342" s="38">
        <f t="shared" si="30"/>
        <v>202500</v>
      </c>
      <c r="AD342" s="19" t="s">
        <v>3766</v>
      </c>
    </row>
    <row r="343" spans="1:35" ht="47.25" x14ac:dyDescent="0.25">
      <c r="A343" s="74">
        <v>340</v>
      </c>
      <c r="B343" s="22">
        <v>43929</v>
      </c>
      <c r="C343" s="148" t="s">
        <v>3767</v>
      </c>
      <c r="D343" s="148"/>
      <c r="E343" s="148" t="s">
        <v>3646</v>
      </c>
      <c r="F343" s="101" t="s">
        <v>3801</v>
      </c>
      <c r="G343" s="10"/>
      <c r="H343" s="101" t="s">
        <v>1030</v>
      </c>
      <c r="I343" s="148" t="s">
        <v>3802</v>
      </c>
      <c r="J343" s="10"/>
      <c r="K343" s="10"/>
      <c r="L343" s="19"/>
      <c r="M343" s="13"/>
      <c r="N343" s="249"/>
      <c r="O343" s="19" t="s">
        <v>299</v>
      </c>
      <c r="P343" s="19" t="s">
        <v>153</v>
      </c>
      <c r="Q343" s="19">
        <v>500</v>
      </c>
      <c r="R343" s="13">
        <v>500000</v>
      </c>
      <c r="S343" s="19">
        <v>425000</v>
      </c>
      <c r="T343" s="19">
        <f t="shared" ref="T343:T366" si="35">R343+S343</f>
        <v>925000</v>
      </c>
      <c r="U343" s="19"/>
      <c r="V343" s="19"/>
      <c r="W343" s="19"/>
      <c r="X343" s="19"/>
      <c r="Y343" s="19"/>
      <c r="Z343" s="376">
        <f t="shared" si="34"/>
        <v>0</v>
      </c>
      <c r="AA343" s="19"/>
      <c r="AB343" s="376">
        <f t="shared" si="32"/>
        <v>555000</v>
      </c>
      <c r="AC343" s="38">
        <f t="shared" si="30"/>
        <v>555000</v>
      </c>
      <c r="AD343" s="22">
        <v>43936</v>
      </c>
      <c r="AE343" s="23" t="s">
        <v>3803</v>
      </c>
      <c r="AF343" s="23">
        <v>10321656622015</v>
      </c>
      <c r="AG343" s="23" t="s">
        <v>3804</v>
      </c>
      <c r="AI343" s="591">
        <v>925000</v>
      </c>
    </row>
    <row r="344" spans="1:35" ht="47.25" x14ac:dyDescent="0.25">
      <c r="A344" s="311">
        <v>341</v>
      </c>
      <c r="B344" s="22">
        <v>43931</v>
      </c>
      <c r="C344" s="148" t="s">
        <v>3779</v>
      </c>
      <c r="D344" s="148" t="s">
        <v>3024</v>
      </c>
      <c r="E344" s="148" t="s">
        <v>3646</v>
      </c>
      <c r="F344" s="101" t="s">
        <v>3780</v>
      </c>
      <c r="G344" s="10"/>
      <c r="H344" s="101" t="s">
        <v>353</v>
      </c>
      <c r="I344" s="148" t="s">
        <v>3781</v>
      </c>
      <c r="J344" s="10"/>
      <c r="K344" s="10"/>
      <c r="L344" s="19"/>
      <c r="M344" s="13"/>
      <c r="N344" s="249"/>
      <c r="O344" s="356" t="s">
        <v>1048</v>
      </c>
      <c r="P344" s="356" t="s">
        <v>153</v>
      </c>
      <c r="Q344" s="356">
        <v>300</v>
      </c>
      <c r="R344" s="350">
        <v>500000</v>
      </c>
      <c r="S344" s="356">
        <v>300000</v>
      </c>
      <c r="T344" s="356">
        <f t="shared" si="35"/>
        <v>800000</v>
      </c>
      <c r="U344" s="19"/>
      <c r="V344" s="19"/>
      <c r="W344" s="19"/>
      <c r="X344" s="19"/>
      <c r="Y344" s="165">
        <v>0.4</v>
      </c>
      <c r="Z344" s="376">
        <f t="shared" si="34"/>
        <v>320000</v>
      </c>
      <c r="AA344" s="19"/>
      <c r="AB344" s="376">
        <f t="shared" si="32"/>
        <v>480000</v>
      </c>
      <c r="AC344" s="38">
        <f t="shared" si="30"/>
        <v>160000</v>
      </c>
      <c r="AD344" s="19" t="s">
        <v>4108</v>
      </c>
    </row>
    <row r="345" spans="1:35" ht="47.25" x14ac:dyDescent="0.25">
      <c r="A345" s="113">
        <v>342</v>
      </c>
      <c r="B345" s="22">
        <v>43931</v>
      </c>
      <c r="C345" s="148" t="s">
        <v>3782</v>
      </c>
      <c r="D345" s="148" t="s">
        <v>3024</v>
      </c>
      <c r="E345" s="148" t="s">
        <v>3646</v>
      </c>
      <c r="F345" s="101" t="s">
        <v>3783</v>
      </c>
      <c r="G345" s="10"/>
      <c r="H345" s="101" t="s">
        <v>353</v>
      </c>
      <c r="I345" s="148" t="s">
        <v>3784</v>
      </c>
      <c r="J345" s="10"/>
      <c r="K345" s="10"/>
      <c r="L345" s="19"/>
      <c r="M345" s="13"/>
      <c r="N345" s="249"/>
      <c r="O345" s="356" t="s">
        <v>1048</v>
      </c>
      <c r="P345" s="356" t="s">
        <v>153</v>
      </c>
      <c r="Q345" s="356">
        <v>300</v>
      </c>
      <c r="R345" s="350">
        <v>500000</v>
      </c>
      <c r="S345" s="356">
        <v>300000</v>
      </c>
      <c r="T345" s="356">
        <f t="shared" si="35"/>
        <v>800000</v>
      </c>
      <c r="U345" s="19"/>
      <c r="V345" s="19"/>
      <c r="W345" s="19"/>
      <c r="X345" s="19"/>
      <c r="Y345" s="165">
        <v>0.4</v>
      </c>
      <c r="Z345" s="376">
        <f t="shared" si="34"/>
        <v>320000</v>
      </c>
      <c r="AA345" s="19"/>
      <c r="AB345" s="376">
        <f t="shared" si="32"/>
        <v>480000</v>
      </c>
      <c r="AC345" s="38">
        <f t="shared" si="30"/>
        <v>160000</v>
      </c>
      <c r="AD345" s="19" t="s">
        <v>4108</v>
      </c>
    </row>
    <row r="346" spans="1:35" s="36" customFormat="1" ht="47.25" x14ac:dyDescent="0.25">
      <c r="A346" s="74">
        <v>343</v>
      </c>
      <c r="B346" s="70">
        <v>43934</v>
      </c>
      <c r="C346" s="134" t="s">
        <v>3785</v>
      </c>
      <c r="D346" s="134" t="s">
        <v>3376</v>
      </c>
      <c r="E346" s="134" t="s">
        <v>3646</v>
      </c>
      <c r="F346" s="379" t="s">
        <v>288</v>
      </c>
      <c r="G346" s="78"/>
      <c r="H346" s="379" t="s">
        <v>322</v>
      </c>
      <c r="I346" s="134" t="s">
        <v>293</v>
      </c>
      <c r="J346" s="78"/>
      <c r="K346" s="78"/>
      <c r="L346" s="18"/>
      <c r="M346" s="333"/>
      <c r="N346" s="559"/>
      <c r="O346" s="581" t="s">
        <v>1048</v>
      </c>
      <c r="P346" s="581" t="s">
        <v>153</v>
      </c>
      <c r="Q346" s="581">
        <v>300</v>
      </c>
      <c r="R346" s="582">
        <v>500000</v>
      </c>
      <c r="S346" s="581">
        <v>300000</v>
      </c>
      <c r="T346" s="581">
        <f t="shared" si="35"/>
        <v>800000</v>
      </c>
      <c r="U346" s="18"/>
      <c r="V346" s="18"/>
      <c r="W346" s="18"/>
      <c r="X346" s="18"/>
      <c r="Y346" s="87">
        <v>0.45</v>
      </c>
      <c r="Z346" s="414">
        <f t="shared" si="34"/>
        <v>360000</v>
      </c>
      <c r="AA346" s="18"/>
      <c r="AB346" s="414">
        <f t="shared" si="32"/>
        <v>480000</v>
      </c>
      <c r="AC346" s="587">
        <f t="shared" si="30"/>
        <v>120000</v>
      </c>
      <c r="AD346" s="18"/>
    </row>
    <row r="347" spans="1:35" ht="31.5" x14ac:dyDescent="0.25">
      <c r="A347" s="311">
        <v>344</v>
      </c>
      <c r="B347" s="22">
        <v>43934</v>
      </c>
      <c r="C347" s="148" t="s">
        <v>3786</v>
      </c>
      <c r="D347" s="148" t="s">
        <v>2163</v>
      </c>
      <c r="E347" s="148" t="s">
        <v>3646</v>
      </c>
      <c r="F347" s="101" t="s">
        <v>3787</v>
      </c>
      <c r="G347" s="10"/>
      <c r="H347" s="101" t="s">
        <v>604</v>
      </c>
      <c r="I347" s="148" t="s">
        <v>3788</v>
      </c>
      <c r="J347" s="10"/>
      <c r="K347" s="10"/>
      <c r="L347" s="19"/>
      <c r="M347" s="13"/>
      <c r="N347" s="249"/>
      <c r="O347" s="356" t="s">
        <v>1048</v>
      </c>
      <c r="P347" s="356" t="s">
        <v>153</v>
      </c>
      <c r="Q347" s="356">
        <v>300</v>
      </c>
      <c r="R347" s="350">
        <v>500000</v>
      </c>
      <c r="S347" s="356">
        <v>300000</v>
      </c>
      <c r="T347" s="356">
        <f t="shared" si="35"/>
        <v>800000</v>
      </c>
      <c r="U347" s="19"/>
      <c r="V347" s="19"/>
      <c r="W347" s="19"/>
      <c r="X347" s="19"/>
      <c r="Y347" s="165">
        <v>0.4</v>
      </c>
      <c r="Z347" s="376">
        <f t="shared" si="34"/>
        <v>320000</v>
      </c>
      <c r="AA347" s="19"/>
      <c r="AB347" s="376">
        <f t="shared" si="32"/>
        <v>480000</v>
      </c>
      <c r="AC347" s="38">
        <f t="shared" si="30"/>
        <v>160000</v>
      </c>
      <c r="AD347" s="19" t="s">
        <v>1452</v>
      </c>
    </row>
    <row r="348" spans="1:35" ht="47.25" x14ac:dyDescent="0.25">
      <c r="A348" s="113">
        <v>345</v>
      </c>
      <c r="B348" s="22">
        <v>43935</v>
      </c>
      <c r="C348" s="148" t="s">
        <v>3789</v>
      </c>
      <c r="D348" s="148" t="s">
        <v>309</v>
      </c>
      <c r="E348" s="148" t="s">
        <v>2327</v>
      </c>
      <c r="F348" s="101" t="s">
        <v>3790</v>
      </c>
      <c r="G348" s="10"/>
      <c r="H348" s="101" t="s">
        <v>322</v>
      </c>
      <c r="I348" s="148" t="s">
        <v>3791</v>
      </c>
      <c r="J348" s="10"/>
      <c r="K348" s="10"/>
      <c r="L348" s="19"/>
      <c r="M348" s="13"/>
      <c r="N348" s="249"/>
      <c r="O348" s="356" t="s">
        <v>1048</v>
      </c>
      <c r="P348" s="356" t="s">
        <v>153</v>
      </c>
      <c r="Q348" s="356">
        <v>300</v>
      </c>
      <c r="R348" s="350">
        <v>500000</v>
      </c>
      <c r="S348" s="356">
        <v>300000</v>
      </c>
      <c r="T348" s="356">
        <f t="shared" si="35"/>
        <v>800000</v>
      </c>
      <c r="U348" s="19"/>
      <c r="V348" s="19"/>
      <c r="W348" s="19"/>
      <c r="X348" s="19"/>
      <c r="Y348" s="19"/>
      <c r="Z348" s="376"/>
      <c r="AA348" s="19"/>
      <c r="AB348" s="376">
        <f t="shared" si="32"/>
        <v>480000</v>
      </c>
      <c r="AC348" s="38">
        <f t="shared" si="30"/>
        <v>480000</v>
      </c>
      <c r="AD348" s="19" t="s">
        <v>3798</v>
      </c>
    </row>
    <row r="349" spans="1:35" s="272" customFormat="1" ht="47.25" x14ac:dyDescent="0.25">
      <c r="A349" s="74">
        <v>346</v>
      </c>
      <c r="B349" s="373">
        <v>43935</v>
      </c>
      <c r="C349" s="358" t="s">
        <v>3792</v>
      </c>
      <c r="D349" s="358" t="s">
        <v>309</v>
      </c>
      <c r="E349" s="358" t="s">
        <v>2327</v>
      </c>
      <c r="F349" s="335" t="s">
        <v>3794</v>
      </c>
      <c r="G349" s="269"/>
      <c r="H349" s="504" t="s">
        <v>4179</v>
      </c>
      <c r="I349" s="358" t="s">
        <v>3793</v>
      </c>
      <c r="J349" s="269"/>
      <c r="K349" s="269"/>
      <c r="L349" s="266"/>
      <c r="M349" s="278"/>
      <c r="N349" s="439"/>
      <c r="O349" s="507" t="s">
        <v>1048</v>
      </c>
      <c r="P349" s="507" t="s">
        <v>153</v>
      </c>
      <c r="Q349" s="507">
        <v>300</v>
      </c>
      <c r="R349" s="549">
        <v>500000</v>
      </c>
      <c r="S349" s="507">
        <v>300000</v>
      </c>
      <c r="T349" s="507">
        <f t="shared" si="35"/>
        <v>800000</v>
      </c>
      <c r="U349" s="266"/>
      <c r="V349" s="266"/>
      <c r="W349" s="266"/>
      <c r="X349" s="266"/>
      <c r="Y349" s="266"/>
      <c r="Z349" s="605"/>
      <c r="AA349" s="266"/>
      <c r="AB349" s="605">
        <f t="shared" si="32"/>
        <v>480000</v>
      </c>
      <c r="AC349" s="607">
        <f t="shared" si="30"/>
        <v>480000</v>
      </c>
      <c r="AD349" s="266" t="s">
        <v>4180</v>
      </c>
    </row>
    <row r="350" spans="1:35" ht="63" x14ac:dyDescent="0.25">
      <c r="A350" s="311">
        <v>347</v>
      </c>
      <c r="B350" s="22">
        <v>43935</v>
      </c>
      <c r="C350" s="148" t="s">
        <v>3795</v>
      </c>
      <c r="D350" s="148" t="s">
        <v>3404</v>
      </c>
      <c r="E350" s="148" t="s">
        <v>3646</v>
      </c>
      <c r="F350" s="101" t="s">
        <v>3796</v>
      </c>
      <c r="G350" s="10"/>
      <c r="H350" s="101" t="s">
        <v>322</v>
      </c>
      <c r="I350" s="148" t="s">
        <v>3797</v>
      </c>
      <c r="J350" s="10"/>
      <c r="K350" s="10"/>
      <c r="L350" s="19"/>
      <c r="M350" s="13"/>
      <c r="N350" s="249"/>
      <c r="O350" s="356" t="s">
        <v>1484</v>
      </c>
      <c r="P350" s="356" t="s">
        <v>153</v>
      </c>
      <c r="Q350" s="356">
        <v>1000</v>
      </c>
      <c r="R350" s="350">
        <v>500000</v>
      </c>
      <c r="S350" s="356">
        <v>675000</v>
      </c>
      <c r="T350" s="356">
        <f t="shared" si="35"/>
        <v>1175000</v>
      </c>
      <c r="U350" s="19"/>
      <c r="V350" s="19"/>
      <c r="W350" s="19"/>
      <c r="X350" s="19"/>
      <c r="Y350" s="165">
        <v>0.4</v>
      </c>
      <c r="Z350" s="376">
        <f t="shared" ref="Z350:Z413" si="36">T350*Y350</f>
        <v>470000</v>
      </c>
      <c r="AA350" s="19"/>
      <c r="AB350" s="376">
        <f t="shared" si="32"/>
        <v>705000</v>
      </c>
      <c r="AC350" s="38">
        <f t="shared" si="30"/>
        <v>235000</v>
      </c>
      <c r="AD350" s="19" t="s">
        <v>3818</v>
      </c>
    </row>
    <row r="351" spans="1:35" s="272" customFormat="1" ht="47.25" x14ac:dyDescent="0.25">
      <c r="A351" s="113">
        <v>348</v>
      </c>
      <c r="B351" s="373">
        <v>43936</v>
      </c>
      <c r="C351" s="358" t="s">
        <v>3817</v>
      </c>
      <c r="D351" s="358" t="s">
        <v>984</v>
      </c>
      <c r="E351" s="358" t="s">
        <v>2327</v>
      </c>
      <c r="F351" s="335" t="s">
        <v>3819</v>
      </c>
      <c r="G351" s="269"/>
      <c r="H351" s="335" t="s">
        <v>273</v>
      </c>
      <c r="I351" s="358" t="s">
        <v>3820</v>
      </c>
      <c r="J351" s="269"/>
      <c r="K351" s="269"/>
      <c r="L351" s="266"/>
      <c r="M351" s="278"/>
      <c r="N351" s="439"/>
      <c r="O351" s="507" t="s">
        <v>1048</v>
      </c>
      <c r="P351" s="507" t="s">
        <v>153</v>
      </c>
      <c r="Q351" s="507">
        <v>300</v>
      </c>
      <c r="R351" s="549">
        <v>500000</v>
      </c>
      <c r="S351" s="507">
        <v>300000</v>
      </c>
      <c r="T351" s="507">
        <f t="shared" si="35"/>
        <v>800000</v>
      </c>
      <c r="U351" s="266"/>
      <c r="V351" s="266"/>
      <c r="W351" s="266"/>
      <c r="X351" s="266"/>
      <c r="Y351" s="271">
        <v>0.3</v>
      </c>
      <c r="Z351" s="605">
        <f t="shared" si="36"/>
        <v>240000</v>
      </c>
      <c r="AA351" s="266"/>
      <c r="AB351" s="605">
        <f t="shared" si="32"/>
        <v>480000</v>
      </c>
      <c r="AC351" s="607">
        <f t="shared" si="30"/>
        <v>240000</v>
      </c>
      <c r="AD351" s="266"/>
    </row>
    <row r="352" spans="1:35" s="36" customFormat="1" ht="47.25" x14ac:dyDescent="0.25">
      <c r="A352" s="74">
        <v>349</v>
      </c>
      <c r="B352" s="70">
        <v>43936</v>
      </c>
      <c r="C352" s="134" t="s">
        <v>3821</v>
      </c>
      <c r="D352" s="134" t="s">
        <v>350</v>
      </c>
      <c r="E352" s="134" t="s">
        <v>457</v>
      </c>
      <c r="F352" s="379" t="s">
        <v>3822</v>
      </c>
      <c r="G352" s="78"/>
      <c r="H352" s="379" t="s">
        <v>168</v>
      </c>
      <c r="I352" s="134" t="s">
        <v>3823</v>
      </c>
      <c r="J352" s="78"/>
      <c r="K352" s="78"/>
      <c r="L352" s="18"/>
      <c r="M352" s="333"/>
      <c r="N352" s="559"/>
      <c r="O352" s="581" t="s">
        <v>1048</v>
      </c>
      <c r="P352" s="581" t="s">
        <v>153</v>
      </c>
      <c r="Q352" s="581">
        <v>300</v>
      </c>
      <c r="R352" s="582">
        <v>500000</v>
      </c>
      <c r="S352" s="581">
        <v>300000</v>
      </c>
      <c r="T352" s="581">
        <f t="shared" si="35"/>
        <v>800000</v>
      </c>
      <c r="U352" s="18"/>
      <c r="V352" s="18"/>
      <c r="W352" s="18"/>
      <c r="X352" s="18"/>
      <c r="Y352" s="87">
        <v>0.4</v>
      </c>
      <c r="Z352" s="414">
        <f t="shared" si="36"/>
        <v>320000</v>
      </c>
      <c r="AA352" s="18"/>
      <c r="AB352" s="414">
        <f t="shared" si="32"/>
        <v>480000</v>
      </c>
      <c r="AC352" s="587">
        <f t="shared" si="30"/>
        <v>160000</v>
      </c>
      <c r="AD352" s="18" t="s">
        <v>1746</v>
      </c>
    </row>
    <row r="353" spans="1:30" s="272" customFormat="1" ht="47.25" x14ac:dyDescent="0.25">
      <c r="A353" s="311">
        <v>350</v>
      </c>
      <c r="B353" s="373">
        <v>43938</v>
      </c>
      <c r="C353" s="358" t="s">
        <v>3826</v>
      </c>
      <c r="D353" s="358" t="s">
        <v>1686</v>
      </c>
      <c r="E353" s="358"/>
      <c r="F353" s="335" t="s">
        <v>3827</v>
      </c>
      <c r="G353" s="269"/>
      <c r="H353" s="335" t="s">
        <v>2199</v>
      </c>
      <c r="I353" s="358" t="s">
        <v>3828</v>
      </c>
      <c r="J353" s="269"/>
      <c r="K353" s="269"/>
      <c r="L353" s="266"/>
      <c r="M353" s="278"/>
      <c r="N353" s="439"/>
      <c r="O353" s="266" t="s">
        <v>299</v>
      </c>
      <c r="P353" s="266" t="s">
        <v>153</v>
      </c>
      <c r="Q353" s="266">
        <v>500</v>
      </c>
      <c r="R353" s="278">
        <v>500000</v>
      </c>
      <c r="S353" s="266">
        <v>425000</v>
      </c>
      <c r="T353" s="266">
        <f t="shared" si="35"/>
        <v>925000</v>
      </c>
      <c r="U353" s="266"/>
      <c r="V353" s="266"/>
      <c r="W353" s="266"/>
      <c r="X353" s="266"/>
      <c r="Y353" s="271">
        <v>0.47</v>
      </c>
      <c r="Z353" s="605">
        <f t="shared" si="36"/>
        <v>434750</v>
      </c>
      <c r="AA353" s="266"/>
      <c r="AB353" s="605">
        <f t="shared" si="32"/>
        <v>555000</v>
      </c>
      <c r="AC353" s="607">
        <f t="shared" si="30"/>
        <v>120250</v>
      </c>
      <c r="AD353" s="266"/>
    </row>
    <row r="354" spans="1:30" s="36" customFormat="1" ht="47.25" x14ac:dyDescent="0.25">
      <c r="A354" s="113">
        <v>351</v>
      </c>
      <c r="B354" s="70">
        <v>43938</v>
      </c>
      <c r="C354" s="134" t="s">
        <v>3829</v>
      </c>
      <c r="D354" s="134" t="s">
        <v>457</v>
      </c>
      <c r="E354" s="134"/>
      <c r="F354" s="379" t="s">
        <v>3830</v>
      </c>
      <c r="G354" s="269"/>
      <c r="H354" s="379" t="s">
        <v>273</v>
      </c>
      <c r="I354" s="134" t="s">
        <v>3831</v>
      </c>
      <c r="J354" s="78"/>
      <c r="K354" s="78"/>
      <c r="L354" s="18"/>
      <c r="M354" s="278"/>
      <c r="N354" s="559"/>
      <c r="O354" s="581" t="s">
        <v>1048</v>
      </c>
      <c r="P354" s="581" t="s">
        <v>153</v>
      </c>
      <c r="Q354" s="581">
        <v>300</v>
      </c>
      <c r="R354" s="582">
        <v>500000</v>
      </c>
      <c r="S354" s="581">
        <v>300000</v>
      </c>
      <c r="T354" s="581">
        <f t="shared" si="35"/>
        <v>800000</v>
      </c>
      <c r="U354" s="266"/>
      <c r="V354" s="266"/>
      <c r="W354" s="266"/>
      <c r="X354" s="266"/>
      <c r="Y354" s="87">
        <v>0.2</v>
      </c>
      <c r="Z354" s="414">
        <f t="shared" si="36"/>
        <v>160000</v>
      </c>
      <c r="AA354" s="18"/>
      <c r="AB354" s="414">
        <f t="shared" si="32"/>
        <v>480000</v>
      </c>
      <c r="AC354" s="587">
        <f t="shared" si="30"/>
        <v>320000</v>
      </c>
      <c r="AD354" s="18" t="s">
        <v>4166</v>
      </c>
    </row>
    <row r="355" spans="1:30" s="272" customFormat="1" ht="47.25" x14ac:dyDescent="0.25">
      <c r="A355" s="74">
        <v>352</v>
      </c>
      <c r="B355" s="373">
        <v>43938</v>
      </c>
      <c r="C355" s="358" t="s">
        <v>3833</v>
      </c>
      <c r="D355" s="358" t="s">
        <v>984</v>
      </c>
      <c r="E355" s="358" t="s">
        <v>2327</v>
      </c>
      <c r="F355" s="335" t="s">
        <v>3832</v>
      </c>
      <c r="G355" s="269"/>
      <c r="H355" s="335" t="s">
        <v>273</v>
      </c>
      <c r="I355" s="358" t="s">
        <v>3834</v>
      </c>
      <c r="J355" s="269"/>
      <c r="K355" s="269"/>
      <c r="L355" s="266"/>
      <c r="M355" s="278"/>
      <c r="N355" s="439"/>
      <c r="O355" s="507" t="s">
        <v>1048</v>
      </c>
      <c r="P355" s="507" t="s">
        <v>153</v>
      </c>
      <c r="Q355" s="507">
        <v>300</v>
      </c>
      <c r="R355" s="549">
        <v>500000</v>
      </c>
      <c r="S355" s="507">
        <v>300000</v>
      </c>
      <c r="T355" s="507">
        <f t="shared" si="35"/>
        <v>800000</v>
      </c>
      <c r="U355" s="266"/>
      <c r="V355" s="266"/>
      <c r="W355" s="266"/>
      <c r="X355" s="266"/>
      <c r="Y355" s="271">
        <v>0.3</v>
      </c>
      <c r="Z355" s="605">
        <f t="shared" si="36"/>
        <v>240000</v>
      </c>
      <c r="AA355" s="266"/>
      <c r="AB355" s="605">
        <f t="shared" si="32"/>
        <v>480000</v>
      </c>
      <c r="AC355" s="607">
        <f t="shared" si="30"/>
        <v>240000</v>
      </c>
      <c r="AD355" s="266"/>
    </row>
    <row r="356" spans="1:30" s="272" customFormat="1" ht="47.25" x14ac:dyDescent="0.25">
      <c r="A356" s="311">
        <v>353</v>
      </c>
      <c r="B356" s="373">
        <v>43938</v>
      </c>
      <c r="C356" s="358" t="s">
        <v>3835</v>
      </c>
      <c r="D356" s="358"/>
      <c r="E356" s="358" t="s">
        <v>2327</v>
      </c>
      <c r="F356" s="335" t="s">
        <v>3836</v>
      </c>
      <c r="G356" s="269"/>
      <c r="H356" s="335" t="s">
        <v>273</v>
      </c>
      <c r="I356" s="358" t="s">
        <v>3834</v>
      </c>
      <c r="J356" s="269"/>
      <c r="K356" s="269"/>
      <c r="L356" s="266"/>
      <c r="M356" s="278"/>
      <c r="N356" s="439"/>
      <c r="O356" s="507" t="s">
        <v>1048</v>
      </c>
      <c r="P356" s="507" t="s">
        <v>153</v>
      </c>
      <c r="Q356" s="507">
        <v>300</v>
      </c>
      <c r="R356" s="549">
        <v>500000</v>
      </c>
      <c r="S356" s="507">
        <v>300000</v>
      </c>
      <c r="T356" s="507">
        <f t="shared" si="35"/>
        <v>800000</v>
      </c>
      <c r="U356" s="266"/>
      <c r="V356" s="266"/>
      <c r="W356" s="266"/>
      <c r="X356" s="266"/>
      <c r="Y356" s="271">
        <v>0.3</v>
      </c>
      <c r="Z356" s="605">
        <f t="shared" si="36"/>
        <v>240000</v>
      </c>
      <c r="AA356" s="266"/>
      <c r="AB356" s="605">
        <f t="shared" si="32"/>
        <v>480000</v>
      </c>
      <c r="AC356" s="607">
        <f t="shared" si="30"/>
        <v>240000</v>
      </c>
      <c r="AD356" s="266"/>
    </row>
    <row r="357" spans="1:30" s="272" customFormat="1" ht="47.25" x14ac:dyDescent="0.25">
      <c r="A357" s="113">
        <v>354</v>
      </c>
      <c r="B357" s="373">
        <v>43938</v>
      </c>
      <c r="C357" s="358" t="s">
        <v>3837</v>
      </c>
      <c r="D357" s="358"/>
      <c r="E357" s="358" t="s">
        <v>2327</v>
      </c>
      <c r="F357" s="335" t="s">
        <v>3838</v>
      </c>
      <c r="G357" s="269"/>
      <c r="H357" s="335" t="s">
        <v>168</v>
      </c>
      <c r="I357" s="358" t="s">
        <v>3839</v>
      </c>
      <c r="J357" s="269"/>
      <c r="K357" s="269"/>
      <c r="L357" s="266"/>
      <c r="M357" s="278"/>
      <c r="N357" s="439"/>
      <c r="O357" s="507" t="s">
        <v>1484</v>
      </c>
      <c r="P357" s="507" t="s">
        <v>153</v>
      </c>
      <c r="Q357" s="507">
        <v>1000</v>
      </c>
      <c r="R357" s="549">
        <v>500000</v>
      </c>
      <c r="S357" s="507">
        <v>675000</v>
      </c>
      <c r="T357" s="507">
        <f t="shared" si="35"/>
        <v>1175000</v>
      </c>
      <c r="U357" s="266"/>
      <c r="V357" s="266"/>
      <c r="W357" s="266"/>
      <c r="X357" s="266"/>
      <c r="Y357" s="271">
        <v>0.4</v>
      </c>
      <c r="Z357" s="605">
        <f t="shared" si="36"/>
        <v>470000</v>
      </c>
      <c r="AA357" s="266"/>
      <c r="AB357" s="605">
        <f t="shared" si="32"/>
        <v>705000</v>
      </c>
      <c r="AC357" s="607">
        <f t="shared" si="30"/>
        <v>235000</v>
      </c>
      <c r="AD357" s="266"/>
    </row>
    <row r="358" spans="1:30" s="272" customFormat="1" ht="63" x14ac:dyDescent="0.25">
      <c r="A358" s="74">
        <v>355</v>
      </c>
      <c r="B358" s="373">
        <v>43939</v>
      </c>
      <c r="C358" s="358" t="s">
        <v>3840</v>
      </c>
      <c r="D358" s="358" t="s">
        <v>984</v>
      </c>
      <c r="E358" s="358" t="s">
        <v>3646</v>
      </c>
      <c r="F358" s="335" t="s">
        <v>3841</v>
      </c>
      <c r="G358" s="269"/>
      <c r="H358" s="335" t="s">
        <v>273</v>
      </c>
      <c r="I358" s="358" t="s">
        <v>3842</v>
      </c>
      <c r="J358" s="269"/>
      <c r="K358" s="269"/>
      <c r="L358" s="266"/>
      <c r="M358" s="278"/>
      <c r="N358" s="439"/>
      <c r="O358" s="507" t="s">
        <v>1048</v>
      </c>
      <c r="P358" s="507" t="s">
        <v>153</v>
      </c>
      <c r="Q358" s="507">
        <v>300</v>
      </c>
      <c r="R358" s="549">
        <v>500000</v>
      </c>
      <c r="S358" s="507">
        <v>300000</v>
      </c>
      <c r="T358" s="507">
        <f t="shared" si="35"/>
        <v>800000</v>
      </c>
      <c r="U358" s="266"/>
      <c r="V358" s="266"/>
      <c r="W358" s="266"/>
      <c r="X358" s="266"/>
      <c r="Y358" s="271">
        <v>0.3</v>
      </c>
      <c r="Z358" s="605">
        <f t="shared" si="36"/>
        <v>240000</v>
      </c>
      <c r="AA358" s="266"/>
      <c r="AB358" s="605">
        <f t="shared" si="32"/>
        <v>480000</v>
      </c>
      <c r="AC358" s="607">
        <f t="shared" si="30"/>
        <v>240000</v>
      </c>
      <c r="AD358" s="266"/>
    </row>
    <row r="359" spans="1:30" s="36" customFormat="1" ht="47.25" x14ac:dyDescent="0.25">
      <c r="A359" s="311">
        <v>356</v>
      </c>
      <c r="B359" s="70">
        <v>43941</v>
      </c>
      <c r="C359" s="134" t="s">
        <v>3881</v>
      </c>
      <c r="D359" s="134" t="s">
        <v>3883</v>
      </c>
      <c r="E359" s="134" t="s">
        <v>3646</v>
      </c>
      <c r="F359" s="379" t="s">
        <v>3880</v>
      </c>
      <c r="G359" s="78"/>
      <c r="H359" s="379" t="s">
        <v>1256</v>
      </c>
      <c r="I359" s="134" t="s">
        <v>3882</v>
      </c>
      <c r="J359" s="78" t="s">
        <v>3883</v>
      </c>
      <c r="K359" s="78"/>
      <c r="L359" s="18"/>
      <c r="M359" s="333"/>
      <c r="N359" s="559"/>
      <c r="O359" s="581" t="s">
        <v>1048</v>
      </c>
      <c r="P359" s="581" t="s">
        <v>153</v>
      </c>
      <c r="Q359" s="581">
        <v>300</v>
      </c>
      <c r="R359" s="582">
        <v>500000</v>
      </c>
      <c r="S359" s="581">
        <v>300000</v>
      </c>
      <c r="T359" s="581">
        <f t="shared" si="35"/>
        <v>800000</v>
      </c>
      <c r="U359" s="18"/>
      <c r="V359" s="18"/>
      <c r="W359" s="18"/>
      <c r="X359" s="18"/>
      <c r="Y359" s="18"/>
      <c r="Z359" s="414">
        <f t="shared" si="36"/>
        <v>0</v>
      </c>
      <c r="AA359" s="18"/>
      <c r="AB359" s="414">
        <f t="shared" si="32"/>
        <v>480000</v>
      </c>
      <c r="AC359" s="587">
        <f t="shared" si="30"/>
        <v>480000</v>
      </c>
      <c r="AD359" s="18" t="s">
        <v>4051</v>
      </c>
    </row>
    <row r="360" spans="1:30" ht="63" x14ac:dyDescent="0.25">
      <c r="A360" s="113">
        <v>357</v>
      </c>
      <c r="B360" s="22">
        <v>43941</v>
      </c>
      <c r="C360" s="148" t="s">
        <v>1146</v>
      </c>
      <c r="D360" s="148" t="s">
        <v>3884</v>
      </c>
      <c r="E360" s="148" t="s">
        <v>3646</v>
      </c>
      <c r="F360" s="101" t="s">
        <v>1147</v>
      </c>
      <c r="G360" s="10"/>
      <c r="H360" s="101" t="s">
        <v>1243</v>
      </c>
      <c r="I360" s="148" t="s">
        <v>2700</v>
      </c>
      <c r="J360" s="10"/>
      <c r="K360" s="10"/>
      <c r="L360" s="19"/>
      <c r="M360" s="13"/>
      <c r="N360" s="249"/>
      <c r="O360" s="356" t="s">
        <v>1484</v>
      </c>
      <c r="P360" s="19" t="s">
        <v>94</v>
      </c>
      <c r="Q360" s="19">
        <v>2000</v>
      </c>
      <c r="R360" s="13"/>
      <c r="S360" s="19">
        <v>1100000</v>
      </c>
      <c r="T360" s="356">
        <f t="shared" si="35"/>
        <v>1100000</v>
      </c>
      <c r="U360" s="19"/>
      <c r="V360" s="19"/>
      <c r="W360" s="19"/>
      <c r="X360" s="19"/>
      <c r="Y360" s="19"/>
      <c r="Z360" s="376">
        <f t="shared" si="36"/>
        <v>0</v>
      </c>
      <c r="AA360" s="19"/>
      <c r="AB360" s="376">
        <f t="shared" si="32"/>
        <v>660000</v>
      </c>
      <c r="AC360" s="38">
        <f t="shared" si="30"/>
        <v>660000</v>
      </c>
      <c r="AD360" s="19" t="s">
        <v>3993</v>
      </c>
    </row>
    <row r="361" spans="1:30" s="36" customFormat="1" ht="31.5" x14ac:dyDescent="0.25">
      <c r="A361" s="74">
        <v>358</v>
      </c>
      <c r="B361" s="70">
        <v>43943</v>
      </c>
      <c r="C361" s="134" t="s">
        <v>3885</v>
      </c>
      <c r="D361" s="134" t="s">
        <v>3883</v>
      </c>
      <c r="E361" s="134" t="s">
        <v>3646</v>
      </c>
      <c r="F361" s="379" t="s">
        <v>3886</v>
      </c>
      <c r="G361" s="78"/>
      <c r="H361" s="379" t="s">
        <v>1256</v>
      </c>
      <c r="I361" s="134" t="s">
        <v>3887</v>
      </c>
      <c r="J361" s="78"/>
      <c r="K361" s="78"/>
      <c r="L361" s="18"/>
      <c r="M361" s="333"/>
      <c r="N361" s="559"/>
      <c r="O361" s="581" t="s">
        <v>1048</v>
      </c>
      <c r="P361" s="581" t="s">
        <v>153</v>
      </c>
      <c r="Q361" s="581">
        <v>300</v>
      </c>
      <c r="R361" s="582">
        <v>500000</v>
      </c>
      <c r="S361" s="581">
        <v>300000</v>
      </c>
      <c r="T361" s="581">
        <f t="shared" si="35"/>
        <v>800000</v>
      </c>
      <c r="U361" s="18"/>
      <c r="V361" s="18"/>
      <c r="W361" s="18"/>
      <c r="X361" s="18"/>
      <c r="Y361" s="18"/>
      <c r="Z361" s="414">
        <f t="shared" si="36"/>
        <v>0</v>
      </c>
      <c r="AA361" s="18"/>
      <c r="AB361" s="414">
        <f t="shared" si="32"/>
        <v>480000</v>
      </c>
      <c r="AC361" s="587">
        <f t="shared" si="30"/>
        <v>480000</v>
      </c>
      <c r="AD361" s="18" t="s">
        <v>4051</v>
      </c>
    </row>
    <row r="362" spans="1:30" ht="47.25" x14ac:dyDescent="0.25">
      <c r="A362" s="311">
        <v>359</v>
      </c>
      <c r="B362" s="22">
        <v>43943</v>
      </c>
      <c r="C362" s="148" t="s">
        <v>3858</v>
      </c>
      <c r="D362" s="148" t="s">
        <v>309</v>
      </c>
      <c r="E362" s="148" t="s">
        <v>2327</v>
      </c>
      <c r="F362" s="101" t="s">
        <v>3888</v>
      </c>
      <c r="G362" s="10"/>
      <c r="H362" s="101" t="s">
        <v>353</v>
      </c>
      <c r="I362" s="148" t="s">
        <v>3860</v>
      </c>
      <c r="J362" s="10"/>
      <c r="K362" s="10"/>
      <c r="L362" s="19"/>
      <c r="M362" s="13"/>
      <c r="N362" s="249"/>
      <c r="O362" s="356" t="s">
        <v>1048</v>
      </c>
      <c r="P362" s="356" t="s">
        <v>153</v>
      </c>
      <c r="Q362" s="356">
        <v>300</v>
      </c>
      <c r="R362" s="350">
        <v>500000</v>
      </c>
      <c r="S362" s="356">
        <v>300000</v>
      </c>
      <c r="T362" s="356">
        <f t="shared" si="35"/>
        <v>800000</v>
      </c>
      <c r="U362" s="19"/>
      <c r="V362" s="19"/>
      <c r="W362" s="19"/>
      <c r="X362" s="19"/>
      <c r="Y362" s="19"/>
      <c r="Z362" s="376">
        <f t="shared" si="36"/>
        <v>0</v>
      </c>
      <c r="AA362" s="19"/>
      <c r="AB362" s="376">
        <f t="shared" si="32"/>
        <v>480000</v>
      </c>
      <c r="AC362" s="38">
        <f t="shared" si="30"/>
        <v>480000</v>
      </c>
      <c r="AD362" s="19" t="s">
        <v>3889</v>
      </c>
    </row>
    <row r="363" spans="1:30" s="272" customFormat="1" ht="47.25" x14ac:dyDescent="0.25">
      <c r="A363" s="113">
        <v>360</v>
      </c>
      <c r="B363" s="373">
        <v>43943</v>
      </c>
      <c r="C363" s="358" t="s">
        <v>3890</v>
      </c>
      <c r="D363" s="358"/>
      <c r="E363" s="358" t="s">
        <v>3646</v>
      </c>
      <c r="F363" s="335" t="s">
        <v>3892</v>
      </c>
      <c r="G363" s="269"/>
      <c r="H363" s="335" t="s">
        <v>659</v>
      </c>
      <c r="I363" s="358" t="s">
        <v>3891</v>
      </c>
      <c r="J363" s="269" t="s">
        <v>3893</v>
      </c>
      <c r="K363" s="269"/>
      <c r="L363" s="266"/>
      <c r="M363" s="278"/>
      <c r="N363" s="439"/>
      <c r="O363" s="266" t="s">
        <v>299</v>
      </c>
      <c r="P363" s="266" t="s">
        <v>153</v>
      </c>
      <c r="Q363" s="266">
        <v>500</v>
      </c>
      <c r="R363" s="278">
        <v>500000</v>
      </c>
      <c r="S363" s="266">
        <v>425000</v>
      </c>
      <c r="T363" s="266">
        <f t="shared" si="35"/>
        <v>925000</v>
      </c>
      <c r="U363" s="266"/>
      <c r="V363" s="266"/>
      <c r="W363" s="266"/>
      <c r="X363" s="266"/>
      <c r="Y363" s="266"/>
      <c r="Z363" s="605">
        <f t="shared" si="36"/>
        <v>0</v>
      </c>
      <c r="AA363" s="266"/>
      <c r="AB363" s="605">
        <f t="shared" si="32"/>
        <v>555000</v>
      </c>
      <c r="AC363" s="607">
        <f t="shared" si="30"/>
        <v>555000</v>
      </c>
      <c r="AD363" s="266"/>
    </row>
    <row r="364" spans="1:30" ht="31.5" x14ac:dyDescent="0.25">
      <c r="A364" s="74">
        <v>361</v>
      </c>
      <c r="B364" s="22">
        <v>43944</v>
      </c>
      <c r="C364" s="148" t="s">
        <v>3894</v>
      </c>
      <c r="D364" s="148" t="s">
        <v>457</v>
      </c>
      <c r="E364" s="148"/>
      <c r="F364" s="101" t="s">
        <v>3896</v>
      </c>
      <c r="G364" s="10"/>
      <c r="H364" s="101" t="s">
        <v>1772</v>
      </c>
      <c r="I364" s="148" t="s">
        <v>3895</v>
      </c>
      <c r="J364" s="10"/>
      <c r="K364" s="10"/>
      <c r="L364" s="19"/>
      <c r="M364" s="13"/>
      <c r="N364" s="249"/>
      <c r="O364" s="356" t="s">
        <v>1048</v>
      </c>
      <c r="P364" s="356" t="s">
        <v>153</v>
      </c>
      <c r="Q364" s="356">
        <v>300</v>
      </c>
      <c r="R364" s="350">
        <v>500000</v>
      </c>
      <c r="S364" s="356">
        <v>300000</v>
      </c>
      <c r="T364" s="356">
        <f t="shared" si="35"/>
        <v>800000</v>
      </c>
      <c r="U364" s="19"/>
      <c r="V364" s="19"/>
      <c r="W364" s="19"/>
      <c r="X364" s="19"/>
      <c r="Y364" s="165">
        <v>0.4</v>
      </c>
      <c r="Z364" s="376">
        <f t="shared" si="36"/>
        <v>320000</v>
      </c>
      <c r="AA364" s="19"/>
      <c r="AB364" s="376">
        <f t="shared" si="32"/>
        <v>480000</v>
      </c>
      <c r="AC364" s="38">
        <f t="shared" si="30"/>
        <v>160000</v>
      </c>
      <c r="AD364" s="19" t="s">
        <v>3907</v>
      </c>
    </row>
    <row r="365" spans="1:30" ht="47.25" x14ac:dyDescent="0.25">
      <c r="A365" s="311">
        <v>362</v>
      </c>
      <c r="B365" s="22">
        <v>43944</v>
      </c>
      <c r="C365" s="148" t="s">
        <v>3897</v>
      </c>
      <c r="D365" s="148" t="s">
        <v>350</v>
      </c>
      <c r="E365" s="148"/>
      <c r="F365" s="101" t="s">
        <v>3898</v>
      </c>
      <c r="G365" s="10"/>
      <c r="H365" s="101" t="s">
        <v>3540</v>
      </c>
      <c r="I365" s="148" t="s">
        <v>3899</v>
      </c>
      <c r="J365" s="37" t="s">
        <v>3905</v>
      </c>
      <c r="K365" s="10"/>
      <c r="L365" s="19"/>
      <c r="M365" s="13"/>
      <c r="N365" s="249"/>
      <c r="O365" s="356" t="s">
        <v>1048</v>
      </c>
      <c r="P365" s="356" t="s">
        <v>153</v>
      </c>
      <c r="Q365" s="356">
        <v>300</v>
      </c>
      <c r="R365" s="350">
        <v>500000</v>
      </c>
      <c r="S365" s="356">
        <v>300000</v>
      </c>
      <c r="T365" s="356">
        <f t="shared" si="35"/>
        <v>800000</v>
      </c>
      <c r="U365" s="19"/>
      <c r="V365" s="19"/>
      <c r="W365" s="19"/>
      <c r="X365" s="19"/>
      <c r="Y365" s="165">
        <v>0.4</v>
      </c>
      <c r="Z365" s="376">
        <f t="shared" si="36"/>
        <v>320000</v>
      </c>
      <c r="AA365" s="19"/>
      <c r="AB365" s="376">
        <f t="shared" si="32"/>
        <v>480000</v>
      </c>
      <c r="AC365" s="38">
        <f t="shared" si="30"/>
        <v>160000</v>
      </c>
      <c r="AD365" s="19" t="s">
        <v>783</v>
      </c>
    </row>
    <row r="366" spans="1:30" ht="47.25" x14ac:dyDescent="0.25">
      <c r="A366" s="113">
        <v>363</v>
      </c>
      <c r="B366" s="22">
        <v>43945</v>
      </c>
      <c r="C366" s="148" t="s">
        <v>3900</v>
      </c>
      <c r="D366" s="148" t="s">
        <v>3901</v>
      </c>
      <c r="E366" s="148"/>
      <c r="F366" s="101" t="s">
        <v>3903</v>
      </c>
      <c r="G366" s="10"/>
      <c r="H366" s="101" t="s">
        <v>168</v>
      </c>
      <c r="I366" s="148" t="s">
        <v>3902</v>
      </c>
      <c r="J366" s="10" t="s">
        <v>3904</v>
      </c>
      <c r="K366" s="10"/>
      <c r="L366" s="19"/>
      <c r="M366" s="13"/>
      <c r="N366" s="249"/>
      <c r="O366" s="356" t="s">
        <v>1484</v>
      </c>
      <c r="P366" s="356" t="s">
        <v>153</v>
      </c>
      <c r="Q366" s="356">
        <v>1000</v>
      </c>
      <c r="R366" s="350">
        <v>500000</v>
      </c>
      <c r="S366" s="356">
        <v>675000</v>
      </c>
      <c r="T366" s="356">
        <f t="shared" si="35"/>
        <v>1175000</v>
      </c>
      <c r="U366" s="19"/>
      <c r="V366" s="19"/>
      <c r="W366" s="19"/>
      <c r="X366" s="19"/>
      <c r="Y366" s="19"/>
      <c r="Z366" s="376">
        <f t="shared" si="36"/>
        <v>0</v>
      </c>
      <c r="AA366" s="19"/>
      <c r="AB366" s="376">
        <f t="shared" si="32"/>
        <v>705000</v>
      </c>
      <c r="AC366" s="38">
        <f t="shared" si="30"/>
        <v>705000</v>
      </c>
      <c r="AD366" s="19" t="s">
        <v>3906</v>
      </c>
    </row>
    <row r="367" spans="1:30" ht="47.25" x14ac:dyDescent="0.25">
      <c r="A367" s="74">
        <v>364</v>
      </c>
      <c r="B367" s="22">
        <v>43948</v>
      </c>
      <c r="C367" s="148" t="s">
        <v>3941</v>
      </c>
      <c r="D367" s="148"/>
      <c r="E367" s="148" t="s">
        <v>3646</v>
      </c>
      <c r="F367" s="101" t="s">
        <v>3940</v>
      </c>
      <c r="G367" s="10"/>
      <c r="H367" s="101" t="s">
        <v>1177</v>
      </c>
      <c r="I367" s="148" t="s">
        <v>3943</v>
      </c>
      <c r="J367" s="37" t="s">
        <v>3942</v>
      </c>
      <c r="K367" s="10"/>
      <c r="L367" s="19"/>
      <c r="M367" s="13"/>
      <c r="N367" s="249"/>
      <c r="O367" s="19" t="s">
        <v>299</v>
      </c>
      <c r="P367" s="19" t="s">
        <v>153</v>
      </c>
      <c r="Q367" s="19">
        <v>500</v>
      </c>
      <c r="R367" s="13">
        <v>500000</v>
      </c>
      <c r="S367" s="19">
        <v>425000</v>
      </c>
      <c r="T367" s="19">
        <f t="shared" ref="T367:T369" si="37">R367+S367</f>
        <v>925000</v>
      </c>
      <c r="U367" s="19"/>
      <c r="V367" s="19"/>
      <c r="W367" s="19"/>
      <c r="X367" s="19"/>
      <c r="Y367" s="19"/>
      <c r="Z367" s="376">
        <f t="shared" si="36"/>
        <v>0</v>
      </c>
      <c r="AA367" s="19"/>
      <c r="AB367" s="376">
        <f t="shared" si="32"/>
        <v>555000</v>
      </c>
      <c r="AC367" s="38">
        <f t="shared" si="30"/>
        <v>555000</v>
      </c>
      <c r="AD367" s="19" t="s">
        <v>1746</v>
      </c>
    </row>
    <row r="368" spans="1:30" s="272" customFormat="1" ht="63" x14ac:dyDescent="0.25">
      <c r="A368" s="311">
        <v>365</v>
      </c>
      <c r="B368" s="373">
        <v>43948</v>
      </c>
      <c r="C368" s="358" t="s">
        <v>3945</v>
      </c>
      <c r="D368" s="358" t="s">
        <v>309</v>
      </c>
      <c r="E368" s="358"/>
      <c r="F368" s="335" t="s">
        <v>3944</v>
      </c>
      <c r="G368" s="269"/>
      <c r="H368" s="335" t="s">
        <v>345</v>
      </c>
      <c r="I368" s="358" t="s">
        <v>3946</v>
      </c>
      <c r="J368" s="269"/>
      <c r="K368" s="269"/>
      <c r="L368" s="266"/>
      <c r="M368" s="278"/>
      <c r="N368" s="439"/>
      <c r="O368" s="507" t="s">
        <v>1484</v>
      </c>
      <c r="P368" s="507" t="s">
        <v>153</v>
      </c>
      <c r="Q368" s="507">
        <v>1000</v>
      </c>
      <c r="R368" s="549">
        <v>500000</v>
      </c>
      <c r="S368" s="507">
        <v>675000</v>
      </c>
      <c r="T368" s="507">
        <f t="shared" si="37"/>
        <v>1175000</v>
      </c>
      <c r="U368" s="266"/>
      <c r="V368" s="266"/>
      <c r="W368" s="266"/>
      <c r="X368" s="266"/>
      <c r="Y368" s="266"/>
      <c r="Z368" s="605">
        <f t="shared" si="36"/>
        <v>0</v>
      </c>
      <c r="AA368" s="266"/>
      <c r="AB368" s="605">
        <f t="shared" si="32"/>
        <v>705000</v>
      </c>
      <c r="AC368" s="607">
        <f t="shared" si="30"/>
        <v>705000</v>
      </c>
      <c r="AD368" s="266" t="s">
        <v>4178</v>
      </c>
    </row>
    <row r="369" spans="1:30" s="272" customFormat="1" ht="47.25" x14ac:dyDescent="0.25">
      <c r="A369" s="113">
        <v>366</v>
      </c>
      <c r="B369" s="373">
        <v>43949</v>
      </c>
      <c r="C369" s="358" t="s">
        <v>3947</v>
      </c>
      <c r="D369" s="358" t="s">
        <v>3672</v>
      </c>
      <c r="E369" s="358"/>
      <c r="F369" s="335" t="s">
        <v>3948</v>
      </c>
      <c r="G369" s="269"/>
      <c r="H369" s="335" t="s">
        <v>273</v>
      </c>
      <c r="I369" s="358" t="s">
        <v>3949</v>
      </c>
      <c r="J369" s="269"/>
      <c r="K369" s="269"/>
      <c r="L369" s="266"/>
      <c r="M369" s="278"/>
      <c r="N369" s="439"/>
      <c r="O369" s="507" t="s">
        <v>1048</v>
      </c>
      <c r="P369" s="507" t="s">
        <v>153</v>
      </c>
      <c r="Q369" s="507">
        <v>300</v>
      </c>
      <c r="R369" s="549">
        <v>500000</v>
      </c>
      <c r="S369" s="507">
        <v>300000</v>
      </c>
      <c r="T369" s="507">
        <f t="shared" si="37"/>
        <v>800000</v>
      </c>
      <c r="U369" s="266"/>
      <c r="V369" s="266"/>
      <c r="W369" s="266"/>
      <c r="X369" s="266"/>
      <c r="Y369" s="271">
        <v>0.3</v>
      </c>
      <c r="Z369" s="605">
        <f t="shared" si="36"/>
        <v>240000</v>
      </c>
      <c r="AA369" s="266"/>
      <c r="AB369" s="605">
        <f t="shared" si="32"/>
        <v>480000</v>
      </c>
      <c r="AC369" s="607">
        <f t="shared" si="30"/>
        <v>240000</v>
      </c>
      <c r="AD369" s="266" t="s">
        <v>4177</v>
      </c>
    </row>
    <row r="370" spans="1:30" s="36" customFormat="1" ht="47.25" x14ac:dyDescent="0.25">
      <c r="A370" s="74">
        <v>367</v>
      </c>
      <c r="B370" s="70">
        <v>43950</v>
      </c>
      <c r="C370" s="134" t="s">
        <v>1010</v>
      </c>
      <c r="D370" s="134" t="s">
        <v>457</v>
      </c>
      <c r="E370" s="134"/>
      <c r="F370" s="379" t="s">
        <v>1011</v>
      </c>
      <c r="G370" s="269"/>
      <c r="H370" s="379" t="s">
        <v>1419</v>
      </c>
      <c r="I370" s="134" t="s">
        <v>3950</v>
      </c>
      <c r="J370" s="78"/>
      <c r="K370" s="78"/>
      <c r="L370" s="18"/>
      <c r="M370" s="278"/>
      <c r="N370" s="559"/>
      <c r="O370" s="581" t="s">
        <v>1048</v>
      </c>
      <c r="P370" s="581" t="s">
        <v>153</v>
      </c>
      <c r="Q370" s="581">
        <v>300</v>
      </c>
      <c r="R370" s="582">
        <v>500000</v>
      </c>
      <c r="S370" s="581">
        <v>300000</v>
      </c>
      <c r="T370" s="581">
        <f t="shared" ref="T370" si="38">R370+S370</f>
        <v>800000</v>
      </c>
      <c r="U370" s="266"/>
      <c r="V370" s="266"/>
      <c r="W370" s="266"/>
      <c r="X370" s="266"/>
      <c r="Y370" s="87">
        <v>0.4</v>
      </c>
      <c r="Z370" s="414">
        <f t="shared" si="36"/>
        <v>320000</v>
      </c>
      <c r="AA370" s="18"/>
      <c r="AB370" s="414">
        <f t="shared" si="32"/>
        <v>480000</v>
      </c>
      <c r="AC370" s="587">
        <f t="shared" si="30"/>
        <v>160000</v>
      </c>
      <c r="AD370" s="18" t="s">
        <v>1746</v>
      </c>
    </row>
    <row r="371" spans="1:30" ht="63" x14ac:dyDescent="0.25">
      <c r="A371" s="311">
        <v>368</v>
      </c>
      <c r="B371" s="22">
        <v>43950</v>
      </c>
      <c r="C371" s="148" t="s">
        <v>3953</v>
      </c>
      <c r="D371" s="148" t="s">
        <v>3657</v>
      </c>
      <c r="E371" s="148" t="s">
        <v>3646</v>
      </c>
      <c r="F371" s="101" t="s">
        <v>3952</v>
      </c>
      <c r="G371" s="10"/>
      <c r="H371" s="101" t="s">
        <v>168</v>
      </c>
      <c r="I371" s="148" t="s">
        <v>3951</v>
      </c>
      <c r="J371" s="10"/>
      <c r="K371" s="10"/>
      <c r="L371" s="19"/>
      <c r="M371" s="13"/>
      <c r="N371" s="249"/>
      <c r="O371" s="356" t="s">
        <v>1048</v>
      </c>
      <c r="P371" s="356" t="s">
        <v>153</v>
      </c>
      <c r="Q371" s="356">
        <v>300</v>
      </c>
      <c r="R371" s="350">
        <v>500000</v>
      </c>
      <c r="S371" s="356">
        <v>300000</v>
      </c>
      <c r="T371" s="356">
        <f t="shared" ref="T371:T372" si="39">R371+S371</f>
        <v>800000</v>
      </c>
      <c r="U371" s="19"/>
      <c r="V371" s="19"/>
      <c r="W371" s="19"/>
      <c r="X371" s="19"/>
      <c r="Y371" s="165">
        <v>0.4</v>
      </c>
      <c r="Z371" s="376">
        <f t="shared" si="36"/>
        <v>320000</v>
      </c>
      <c r="AA371" s="19"/>
      <c r="AB371" s="376">
        <f t="shared" si="32"/>
        <v>480000</v>
      </c>
      <c r="AC371" s="38">
        <f t="shared" si="30"/>
        <v>160000</v>
      </c>
      <c r="AD371" s="19" t="s">
        <v>4109</v>
      </c>
    </row>
    <row r="372" spans="1:30" s="272" customFormat="1" ht="47.25" x14ac:dyDescent="0.25">
      <c r="A372" s="113">
        <v>369</v>
      </c>
      <c r="B372" s="373">
        <v>43956</v>
      </c>
      <c r="C372" s="358" t="s">
        <v>3955</v>
      </c>
      <c r="D372" s="358" t="s">
        <v>4182</v>
      </c>
      <c r="E372" s="358"/>
      <c r="F372" s="335" t="s">
        <v>3954</v>
      </c>
      <c r="G372" s="269"/>
      <c r="H372" s="335" t="s">
        <v>273</v>
      </c>
      <c r="I372" s="358" t="s">
        <v>3956</v>
      </c>
      <c r="J372" s="269"/>
      <c r="K372" s="269"/>
      <c r="L372" s="266"/>
      <c r="M372" s="278"/>
      <c r="N372" s="439"/>
      <c r="O372" s="507" t="s">
        <v>1048</v>
      </c>
      <c r="P372" s="507" t="s">
        <v>153</v>
      </c>
      <c r="Q372" s="507">
        <v>300</v>
      </c>
      <c r="R372" s="549">
        <v>500000</v>
      </c>
      <c r="S372" s="507">
        <v>300000</v>
      </c>
      <c r="T372" s="507">
        <f t="shared" si="39"/>
        <v>800000</v>
      </c>
      <c r="U372" s="266"/>
      <c r="V372" s="266"/>
      <c r="W372" s="266"/>
      <c r="X372" s="266"/>
      <c r="Y372" s="271">
        <v>0.3</v>
      </c>
      <c r="Z372" s="605">
        <f t="shared" si="36"/>
        <v>240000</v>
      </c>
      <c r="AA372" s="266"/>
      <c r="AB372" s="605">
        <f t="shared" si="32"/>
        <v>480000</v>
      </c>
      <c r="AC372" s="607">
        <f t="shared" si="30"/>
        <v>240000</v>
      </c>
      <c r="AD372" s="266" t="s">
        <v>4176</v>
      </c>
    </row>
    <row r="373" spans="1:30" s="272" customFormat="1" ht="63" x14ac:dyDescent="0.25">
      <c r="A373" s="74">
        <v>370</v>
      </c>
      <c r="B373" s="373">
        <v>43956</v>
      </c>
      <c r="C373" s="358" t="s">
        <v>3957</v>
      </c>
      <c r="D373" s="358" t="s">
        <v>4182</v>
      </c>
      <c r="E373" s="358"/>
      <c r="F373" s="335" t="s">
        <v>3958</v>
      </c>
      <c r="G373" s="269"/>
      <c r="H373" s="335" t="s">
        <v>273</v>
      </c>
      <c r="I373" s="358" t="s">
        <v>3959</v>
      </c>
      <c r="J373" s="269"/>
      <c r="K373" s="269"/>
      <c r="L373" s="266"/>
      <c r="M373" s="278"/>
      <c r="N373" s="439"/>
      <c r="O373" s="507" t="s">
        <v>1048</v>
      </c>
      <c r="P373" s="507" t="s">
        <v>153</v>
      </c>
      <c r="Q373" s="507">
        <v>300</v>
      </c>
      <c r="R373" s="549">
        <v>500000</v>
      </c>
      <c r="S373" s="507">
        <v>300000</v>
      </c>
      <c r="T373" s="507">
        <f t="shared" ref="T373:T374" si="40">R373+S373</f>
        <v>800000</v>
      </c>
      <c r="U373" s="266"/>
      <c r="V373" s="266"/>
      <c r="W373" s="266"/>
      <c r="X373" s="266"/>
      <c r="Y373" s="271">
        <v>0.3</v>
      </c>
      <c r="Z373" s="605">
        <f t="shared" si="36"/>
        <v>240000</v>
      </c>
      <c r="AA373" s="266"/>
      <c r="AB373" s="605">
        <f t="shared" si="32"/>
        <v>480000</v>
      </c>
      <c r="AC373" s="607">
        <f t="shared" si="30"/>
        <v>240000</v>
      </c>
      <c r="AD373" s="266" t="s">
        <v>4176</v>
      </c>
    </row>
    <row r="374" spans="1:30" ht="31.5" x14ac:dyDescent="0.25">
      <c r="A374" s="311">
        <v>371</v>
      </c>
      <c r="B374" s="22">
        <v>43956</v>
      </c>
      <c r="C374" s="148" t="s">
        <v>3960</v>
      </c>
      <c r="D374" s="148" t="s">
        <v>3961</v>
      </c>
      <c r="E374" s="148"/>
      <c r="F374" s="101" t="s">
        <v>3962</v>
      </c>
      <c r="G374" s="10"/>
      <c r="H374" s="101" t="s">
        <v>3964</v>
      </c>
      <c r="I374" s="148" t="s">
        <v>3963</v>
      </c>
      <c r="J374" s="10" t="s">
        <v>3965</v>
      </c>
      <c r="K374" s="10"/>
      <c r="L374" s="19"/>
      <c r="M374" s="13"/>
      <c r="N374" s="249"/>
      <c r="O374" s="356" t="s">
        <v>1048</v>
      </c>
      <c r="P374" s="356" t="s">
        <v>153</v>
      </c>
      <c r="Q374" s="356">
        <v>300</v>
      </c>
      <c r="R374" s="350">
        <v>500000</v>
      </c>
      <c r="S374" s="356">
        <v>300000</v>
      </c>
      <c r="T374" s="356">
        <f t="shared" si="40"/>
        <v>800000</v>
      </c>
      <c r="U374" s="19"/>
      <c r="V374" s="19"/>
      <c r="W374" s="19"/>
      <c r="X374" s="19"/>
      <c r="Y374" s="165">
        <v>0.4</v>
      </c>
      <c r="Z374" s="376">
        <f t="shared" si="36"/>
        <v>320000</v>
      </c>
      <c r="AA374" s="19"/>
      <c r="AB374" s="376">
        <f t="shared" si="32"/>
        <v>480000</v>
      </c>
      <c r="AC374" s="38">
        <f t="shared" ref="AC374:AC437" si="41">AB374-Z374</f>
        <v>160000</v>
      </c>
      <c r="AD374" s="19" t="s">
        <v>3992</v>
      </c>
    </row>
    <row r="375" spans="1:30" ht="63" x14ac:dyDescent="0.25">
      <c r="A375" s="113">
        <v>372</v>
      </c>
      <c r="B375" s="22">
        <v>43956</v>
      </c>
      <c r="C375" s="148" t="s">
        <v>3966</v>
      </c>
      <c r="D375" s="148" t="s">
        <v>474</v>
      </c>
      <c r="E375" s="148" t="s">
        <v>3646</v>
      </c>
      <c r="F375" s="101" t="s">
        <v>3967</v>
      </c>
      <c r="G375" s="269"/>
      <c r="H375" s="101" t="s">
        <v>353</v>
      </c>
      <c r="I375" s="148" t="s">
        <v>3968</v>
      </c>
      <c r="J375" s="10"/>
      <c r="K375" s="10"/>
      <c r="L375" s="19"/>
      <c r="M375" s="278"/>
      <c r="N375" s="249"/>
      <c r="O375" s="356" t="s">
        <v>1048</v>
      </c>
      <c r="P375" s="356" t="s">
        <v>153</v>
      </c>
      <c r="Q375" s="356">
        <v>300</v>
      </c>
      <c r="R375" s="350">
        <v>500000</v>
      </c>
      <c r="S375" s="356">
        <v>300000</v>
      </c>
      <c r="T375" s="356">
        <f t="shared" ref="T375" si="42">R375+S375</f>
        <v>800000</v>
      </c>
      <c r="U375" s="266"/>
      <c r="V375" s="266"/>
      <c r="W375" s="266"/>
      <c r="X375" s="266"/>
      <c r="Y375" s="165">
        <v>0.4</v>
      </c>
      <c r="Z375" s="376">
        <f t="shared" si="36"/>
        <v>320000</v>
      </c>
      <c r="AA375" s="19"/>
      <c r="AB375" s="376">
        <f t="shared" si="32"/>
        <v>480000</v>
      </c>
      <c r="AC375" s="38">
        <f t="shared" si="41"/>
        <v>160000</v>
      </c>
      <c r="AD375" s="19" t="s">
        <v>1641</v>
      </c>
    </row>
    <row r="376" spans="1:30" s="36" customFormat="1" ht="47.25" x14ac:dyDescent="0.25">
      <c r="A376" s="74">
        <v>373</v>
      </c>
      <c r="B376" s="70">
        <v>43958</v>
      </c>
      <c r="C376" s="134" t="s">
        <v>3970</v>
      </c>
      <c r="D376" s="134" t="s">
        <v>350</v>
      </c>
      <c r="E376" s="134" t="s">
        <v>3646</v>
      </c>
      <c r="F376" s="379" t="s">
        <v>3969</v>
      </c>
      <c r="G376" s="78"/>
      <c r="H376" s="379" t="s">
        <v>2043</v>
      </c>
      <c r="I376" s="134" t="s">
        <v>3971</v>
      </c>
      <c r="J376" s="78" t="s">
        <v>3976</v>
      </c>
      <c r="K376" s="78"/>
      <c r="L376" s="18"/>
      <c r="M376" s="333"/>
      <c r="N376" s="559"/>
      <c r="O376" s="581" t="s">
        <v>1048</v>
      </c>
      <c r="P376" s="581" t="s">
        <v>153</v>
      </c>
      <c r="Q376" s="581">
        <v>300</v>
      </c>
      <c r="R376" s="582">
        <v>500000</v>
      </c>
      <c r="S376" s="581">
        <v>300000</v>
      </c>
      <c r="T376" s="581">
        <f t="shared" ref="T376" si="43">R376+S376</f>
        <v>800000</v>
      </c>
      <c r="U376" s="18"/>
      <c r="V376" s="18"/>
      <c r="W376" s="18"/>
      <c r="X376" s="18"/>
      <c r="Y376" s="87">
        <v>0.4</v>
      </c>
      <c r="Z376" s="414">
        <f t="shared" si="36"/>
        <v>320000</v>
      </c>
      <c r="AA376" s="18"/>
      <c r="AB376" s="414">
        <f t="shared" si="32"/>
        <v>480000</v>
      </c>
      <c r="AC376" s="587">
        <f t="shared" si="41"/>
        <v>160000</v>
      </c>
      <c r="AD376" s="18" t="s">
        <v>1746</v>
      </c>
    </row>
    <row r="377" spans="1:30" s="36" customFormat="1" ht="47.25" x14ac:dyDescent="0.25">
      <c r="A377" s="311">
        <v>374</v>
      </c>
      <c r="B377" s="70">
        <v>43958</v>
      </c>
      <c r="C377" s="134" t="s">
        <v>3972</v>
      </c>
      <c r="D377" s="134" t="s">
        <v>350</v>
      </c>
      <c r="E377" s="134" t="s">
        <v>457</v>
      </c>
      <c r="F377" s="379" t="s">
        <v>3973</v>
      </c>
      <c r="G377" s="78"/>
      <c r="H377" s="379" t="s">
        <v>2043</v>
      </c>
      <c r="I377" s="134" t="s">
        <v>3971</v>
      </c>
      <c r="J377" s="78" t="s">
        <v>3976</v>
      </c>
      <c r="K377" s="78"/>
      <c r="L377" s="18"/>
      <c r="M377" s="333"/>
      <c r="N377" s="559"/>
      <c r="O377" s="581" t="s">
        <v>1048</v>
      </c>
      <c r="P377" s="581" t="s">
        <v>153</v>
      </c>
      <c r="Q377" s="581">
        <v>300</v>
      </c>
      <c r="R377" s="582">
        <v>500000</v>
      </c>
      <c r="S377" s="581">
        <v>300000</v>
      </c>
      <c r="T377" s="581">
        <f t="shared" ref="T377" si="44">R377+S377</f>
        <v>800000</v>
      </c>
      <c r="U377" s="18"/>
      <c r="V377" s="18"/>
      <c r="W377" s="18"/>
      <c r="X377" s="18"/>
      <c r="Y377" s="87">
        <v>0.4</v>
      </c>
      <c r="Z377" s="414">
        <f t="shared" si="36"/>
        <v>320000</v>
      </c>
      <c r="AA377" s="18"/>
      <c r="AB377" s="414">
        <f t="shared" si="32"/>
        <v>480000</v>
      </c>
      <c r="AC377" s="587">
        <f t="shared" si="41"/>
        <v>160000</v>
      </c>
      <c r="AD377" s="18" t="s">
        <v>1746</v>
      </c>
    </row>
    <row r="378" spans="1:30" ht="47.25" x14ac:dyDescent="0.25">
      <c r="A378" s="113">
        <v>375</v>
      </c>
      <c r="B378" s="22">
        <v>43959</v>
      </c>
      <c r="C378" s="148" t="s">
        <v>3933</v>
      </c>
      <c r="D378" s="148" t="s">
        <v>457</v>
      </c>
      <c r="E378" s="148"/>
      <c r="F378" s="101" t="s">
        <v>3932</v>
      </c>
      <c r="G378" s="10"/>
      <c r="H378" s="101" t="s">
        <v>3974</v>
      </c>
      <c r="I378" s="148" t="s">
        <v>3934</v>
      </c>
      <c r="J378" s="10"/>
      <c r="K378" s="10"/>
      <c r="L378" s="19"/>
      <c r="M378" s="13"/>
      <c r="N378" s="249"/>
      <c r="O378" s="356" t="s">
        <v>1048</v>
      </c>
      <c r="P378" s="356" t="s">
        <v>153</v>
      </c>
      <c r="Q378" s="356">
        <v>300</v>
      </c>
      <c r="R378" s="350">
        <v>500000</v>
      </c>
      <c r="S378" s="356">
        <v>300000</v>
      </c>
      <c r="T378" s="356">
        <f t="shared" ref="T378" si="45">R378+S378</f>
        <v>800000</v>
      </c>
      <c r="U378" s="19"/>
      <c r="V378" s="19"/>
      <c r="W378" s="19"/>
      <c r="X378" s="19"/>
      <c r="Y378" s="165">
        <v>0.4</v>
      </c>
      <c r="Z378" s="376">
        <f t="shared" si="36"/>
        <v>320000</v>
      </c>
      <c r="AA378" s="19"/>
      <c r="AB378" s="376">
        <f t="shared" ref="AB378:AB441" si="46">T378*0.6</f>
        <v>480000</v>
      </c>
      <c r="AC378" s="38">
        <f t="shared" si="41"/>
        <v>160000</v>
      </c>
      <c r="AD378" s="19"/>
    </row>
    <row r="379" spans="1:30" ht="63" x14ac:dyDescent="0.25">
      <c r="A379" s="74">
        <v>376</v>
      </c>
      <c r="B379" s="22">
        <v>43959</v>
      </c>
      <c r="C379" s="148" t="s">
        <v>3977</v>
      </c>
      <c r="D379" s="148" t="s">
        <v>3308</v>
      </c>
      <c r="E379" s="148"/>
      <c r="F379" s="101" t="s">
        <v>3975</v>
      </c>
      <c r="G379" s="10"/>
      <c r="H379" s="101" t="s">
        <v>3980</v>
      </c>
      <c r="I379" s="148" t="s">
        <v>3979</v>
      </c>
      <c r="J379" s="10" t="s">
        <v>3978</v>
      </c>
      <c r="K379" s="10"/>
      <c r="L379" s="19"/>
      <c r="M379" s="13"/>
      <c r="N379" s="249"/>
      <c r="O379" s="356" t="s">
        <v>1048</v>
      </c>
      <c r="P379" s="356" t="s">
        <v>153</v>
      </c>
      <c r="Q379" s="356">
        <v>300</v>
      </c>
      <c r="R379" s="350">
        <v>500000</v>
      </c>
      <c r="S379" s="356">
        <v>300000</v>
      </c>
      <c r="T379" s="356">
        <f t="shared" ref="T379:T381" si="47">R379+S379</f>
        <v>800000</v>
      </c>
      <c r="U379" s="19"/>
      <c r="V379" s="19"/>
      <c r="W379" s="19"/>
      <c r="X379" s="19"/>
      <c r="Y379" s="165">
        <v>0.35</v>
      </c>
      <c r="Z379" s="376">
        <f t="shared" si="36"/>
        <v>280000</v>
      </c>
      <c r="AA379" s="19"/>
      <c r="AB379" s="376">
        <f t="shared" si="46"/>
        <v>480000</v>
      </c>
      <c r="AC379" s="38">
        <f t="shared" si="41"/>
        <v>200000</v>
      </c>
      <c r="AD379" s="19" t="s">
        <v>4087</v>
      </c>
    </row>
    <row r="380" spans="1:30" ht="63" x14ac:dyDescent="0.25">
      <c r="A380" s="311">
        <v>377</v>
      </c>
      <c r="B380" s="22">
        <v>43959</v>
      </c>
      <c r="C380" s="148" t="s">
        <v>3981</v>
      </c>
      <c r="D380" s="148" t="s">
        <v>168</v>
      </c>
      <c r="E380" s="148" t="s">
        <v>457</v>
      </c>
      <c r="F380" s="101" t="s">
        <v>3983</v>
      </c>
      <c r="G380" s="10"/>
      <c r="H380" s="101" t="s">
        <v>168</v>
      </c>
      <c r="I380" s="148" t="s">
        <v>3982</v>
      </c>
      <c r="J380" s="10"/>
      <c r="K380" s="10"/>
      <c r="L380" s="19"/>
      <c r="M380" s="13"/>
      <c r="N380" s="249"/>
      <c r="O380" s="19" t="s">
        <v>299</v>
      </c>
      <c r="P380" s="19" t="s">
        <v>153</v>
      </c>
      <c r="Q380" s="19">
        <v>500</v>
      </c>
      <c r="R380" s="13">
        <v>500000</v>
      </c>
      <c r="S380" s="19">
        <v>425000</v>
      </c>
      <c r="T380" s="19">
        <f t="shared" si="47"/>
        <v>925000</v>
      </c>
      <c r="U380" s="19"/>
      <c r="V380" s="19"/>
      <c r="W380" s="19"/>
      <c r="X380" s="19"/>
      <c r="Y380" s="165">
        <v>0.35</v>
      </c>
      <c r="Z380" s="376">
        <f t="shared" si="36"/>
        <v>323750</v>
      </c>
      <c r="AA380" s="19"/>
      <c r="AB380" s="376">
        <f t="shared" si="46"/>
        <v>555000</v>
      </c>
      <c r="AC380" s="38">
        <f t="shared" si="41"/>
        <v>231250</v>
      </c>
      <c r="AD380" s="19" t="s">
        <v>4141</v>
      </c>
    </row>
    <row r="381" spans="1:30" ht="47.25" x14ac:dyDescent="0.25">
      <c r="A381" s="113">
        <v>378</v>
      </c>
      <c r="B381" s="22">
        <v>43959</v>
      </c>
      <c r="C381" s="148" t="s">
        <v>3985</v>
      </c>
      <c r="D381" s="148" t="s">
        <v>3986</v>
      </c>
      <c r="E381" s="148" t="s">
        <v>3646</v>
      </c>
      <c r="F381" s="101" t="s">
        <v>3984</v>
      </c>
      <c r="G381" s="10"/>
      <c r="H381" s="101" t="s">
        <v>345</v>
      </c>
      <c r="I381" s="148" t="s">
        <v>3987</v>
      </c>
      <c r="J381" s="10"/>
      <c r="K381" s="10"/>
      <c r="L381" s="19"/>
      <c r="M381" s="13"/>
      <c r="N381" s="249"/>
      <c r="O381" s="356" t="s">
        <v>1048</v>
      </c>
      <c r="P381" s="356" t="s">
        <v>153</v>
      </c>
      <c r="Q381" s="356">
        <v>300</v>
      </c>
      <c r="R381" s="350">
        <v>500000</v>
      </c>
      <c r="S381" s="356">
        <v>300000</v>
      </c>
      <c r="T381" s="356">
        <f t="shared" si="47"/>
        <v>800000</v>
      </c>
      <c r="U381" s="19"/>
      <c r="V381" s="19"/>
      <c r="W381" s="19"/>
      <c r="X381" s="19"/>
      <c r="Y381" s="165">
        <v>0.4</v>
      </c>
      <c r="Z381" s="376">
        <f t="shared" si="36"/>
        <v>320000</v>
      </c>
      <c r="AA381" s="19"/>
      <c r="AB381" s="376">
        <f t="shared" si="46"/>
        <v>480000</v>
      </c>
      <c r="AC381" s="38">
        <f t="shared" si="41"/>
        <v>160000</v>
      </c>
      <c r="AD381" s="19"/>
    </row>
    <row r="382" spans="1:30" s="36" customFormat="1" ht="78.75" x14ac:dyDescent="0.25">
      <c r="A382" s="74">
        <v>379</v>
      </c>
      <c r="B382" s="70">
        <v>43960</v>
      </c>
      <c r="C382" s="134" t="s">
        <v>3994</v>
      </c>
      <c r="D382" s="134" t="s">
        <v>350</v>
      </c>
      <c r="E382" s="134" t="s">
        <v>457</v>
      </c>
      <c r="F382" s="379" t="s">
        <v>3995</v>
      </c>
      <c r="G382" s="78"/>
      <c r="H382" s="379" t="s">
        <v>1030</v>
      </c>
      <c r="I382" s="134" t="s">
        <v>3996</v>
      </c>
      <c r="J382" s="78" t="s">
        <v>3997</v>
      </c>
      <c r="K382" s="78"/>
      <c r="L382" s="18"/>
      <c r="M382" s="333"/>
      <c r="N382" s="559"/>
      <c r="O382" s="581" t="s">
        <v>1048</v>
      </c>
      <c r="P382" s="581" t="s">
        <v>153</v>
      </c>
      <c r="Q382" s="581">
        <v>300</v>
      </c>
      <c r="R382" s="582">
        <v>500000</v>
      </c>
      <c r="S382" s="581">
        <v>300000</v>
      </c>
      <c r="T382" s="581">
        <f t="shared" ref="T382:T383" si="48">R382+S382</f>
        <v>800000</v>
      </c>
      <c r="U382" s="18"/>
      <c r="V382" s="18"/>
      <c r="W382" s="18"/>
      <c r="X382" s="18"/>
      <c r="Y382" s="87">
        <v>0.4</v>
      </c>
      <c r="Z382" s="414">
        <f t="shared" si="36"/>
        <v>320000</v>
      </c>
      <c r="AA382" s="18"/>
      <c r="AB382" s="414">
        <f t="shared" si="46"/>
        <v>480000</v>
      </c>
      <c r="AC382" s="587">
        <f t="shared" si="41"/>
        <v>160000</v>
      </c>
      <c r="AD382" s="18" t="s">
        <v>1746</v>
      </c>
    </row>
    <row r="383" spans="1:30" s="272" customFormat="1" ht="47.25" x14ac:dyDescent="0.25">
      <c r="A383" s="311">
        <v>380</v>
      </c>
      <c r="B383" s="373">
        <v>43962</v>
      </c>
      <c r="C383" s="358" t="s">
        <v>3999</v>
      </c>
      <c r="D383" s="358" t="s">
        <v>4183</v>
      </c>
      <c r="E383" s="358"/>
      <c r="F383" s="335" t="s">
        <v>3998</v>
      </c>
      <c r="G383" s="269"/>
      <c r="H383" s="335" t="s">
        <v>273</v>
      </c>
      <c r="I383" s="358" t="s">
        <v>4000</v>
      </c>
      <c r="J383" s="269" t="s">
        <v>4184</v>
      </c>
      <c r="K383" s="269"/>
      <c r="L383" s="266"/>
      <c r="M383" s="278"/>
      <c r="N383" s="439"/>
      <c r="O383" s="266" t="s">
        <v>299</v>
      </c>
      <c r="P383" s="266" t="s">
        <v>153</v>
      </c>
      <c r="Q383" s="266">
        <v>500</v>
      </c>
      <c r="R383" s="278">
        <v>500000</v>
      </c>
      <c r="S383" s="266">
        <v>425000</v>
      </c>
      <c r="T383" s="266">
        <f t="shared" si="48"/>
        <v>925000</v>
      </c>
      <c r="U383" s="266"/>
      <c r="V383" s="266"/>
      <c r="W383" s="266"/>
      <c r="X383" s="266"/>
      <c r="Y383" s="271">
        <v>0.35</v>
      </c>
      <c r="Z383" s="605">
        <f t="shared" si="36"/>
        <v>323750</v>
      </c>
      <c r="AA383" s="266"/>
      <c r="AB383" s="605">
        <f t="shared" si="46"/>
        <v>555000</v>
      </c>
      <c r="AC383" s="607">
        <f t="shared" si="41"/>
        <v>231250</v>
      </c>
      <c r="AD383" s="358" t="s">
        <v>4175</v>
      </c>
    </row>
    <row r="384" spans="1:30" s="36" customFormat="1" ht="47.25" x14ac:dyDescent="0.25">
      <c r="A384" s="113">
        <v>381</v>
      </c>
      <c r="B384" s="70">
        <v>43964</v>
      </c>
      <c r="C384" s="134" t="s">
        <v>4005</v>
      </c>
      <c r="D384" s="134" t="s">
        <v>350</v>
      </c>
      <c r="E384" s="134" t="s">
        <v>457</v>
      </c>
      <c r="F384" s="379" t="s">
        <v>4004</v>
      </c>
      <c r="G384" s="78"/>
      <c r="H384" s="379" t="s">
        <v>168</v>
      </c>
      <c r="I384" s="134" t="s">
        <v>4006</v>
      </c>
      <c r="J384" s="78"/>
      <c r="K384" s="78"/>
      <c r="L384" s="18"/>
      <c r="M384" s="333"/>
      <c r="N384" s="559"/>
      <c r="O384" s="581" t="s">
        <v>1048</v>
      </c>
      <c r="P384" s="581" t="s">
        <v>153</v>
      </c>
      <c r="Q384" s="581">
        <v>300</v>
      </c>
      <c r="R384" s="582">
        <v>500000</v>
      </c>
      <c r="S384" s="581">
        <v>300000</v>
      </c>
      <c r="T384" s="581">
        <f t="shared" ref="T384" si="49">R384+S384</f>
        <v>800000</v>
      </c>
      <c r="U384" s="18"/>
      <c r="V384" s="18"/>
      <c r="W384" s="18"/>
      <c r="X384" s="18"/>
      <c r="Y384" s="87">
        <v>0.4</v>
      </c>
      <c r="Z384" s="414">
        <f t="shared" si="36"/>
        <v>320000</v>
      </c>
      <c r="AA384" s="18"/>
      <c r="AB384" s="414">
        <f t="shared" si="46"/>
        <v>480000</v>
      </c>
      <c r="AC384" s="587">
        <f t="shared" si="41"/>
        <v>160000</v>
      </c>
      <c r="AD384" s="18" t="s">
        <v>1746</v>
      </c>
    </row>
    <row r="385" spans="1:30" ht="47.25" x14ac:dyDescent="0.25">
      <c r="A385" s="74">
        <v>382</v>
      </c>
      <c r="B385" s="22">
        <v>43964</v>
      </c>
      <c r="C385" s="148" t="s">
        <v>4007</v>
      </c>
      <c r="D385" s="148" t="s">
        <v>2483</v>
      </c>
      <c r="E385" s="148" t="s">
        <v>3646</v>
      </c>
      <c r="F385" s="101" t="s">
        <v>4008</v>
      </c>
      <c r="G385" s="10"/>
      <c r="H385" s="101" t="s">
        <v>273</v>
      </c>
      <c r="I385" s="148" t="s">
        <v>4009</v>
      </c>
      <c r="J385" s="10" t="s">
        <v>4010</v>
      </c>
      <c r="K385" s="10"/>
      <c r="L385" s="19"/>
      <c r="M385" s="13"/>
      <c r="N385" s="249"/>
      <c r="O385" s="356" t="s">
        <v>1048</v>
      </c>
      <c r="P385" s="356" t="s">
        <v>153</v>
      </c>
      <c r="Q385" s="356">
        <v>300</v>
      </c>
      <c r="R385" s="350">
        <v>500000</v>
      </c>
      <c r="S385" s="356">
        <v>300000</v>
      </c>
      <c r="T385" s="601">
        <f>R385+S385</f>
        <v>800000</v>
      </c>
      <c r="U385" s="19"/>
      <c r="V385" s="19"/>
      <c r="W385" s="19"/>
      <c r="X385" s="19"/>
      <c r="Y385" s="165">
        <v>0.3</v>
      </c>
      <c r="Z385" s="376">
        <f t="shared" si="36"/>
        <v>240000</v>
      </c>
      <c r="AA385" s="19"/>
      <c r="AB385" s="376">
        <f t="shared" si="46"/>
        <v>480000</v>
      </c>
      <c r="AC385" s="38">
        <f t="shared" si="41"/>
        <v>240000</v>
      </c>
      <c r="AD385" s="19" t="s">
        <v>4200</v>
      </c>
    </row>
    <row r="386" spans="1:30" ht="31.5" x14ac:dyDescent="0.25">
      <c r="A386" s="311">
        <v>383</v>
      </c>
      <c r="B386" s="22">
        <v>43964</v>
      </c>
      <c r="C386" s="148" t="s">
        <v>4011</v>
      </c>
      <c r="D386" s="148" t="s">
        <v>502</v>
      </c>
      <c r="E386" s="148"/>
      <c r="F386" s="101" t="s">
        <v>4016</v>
      </c>
      <c r="G386" s="10"/>
      <c r="H386" s="101" t="s">
        <v>4015</v>
      </c>
      <c r="I386" s="148" t="s">
        <v>4014</v>
      </c>
      <c r="J386" s="10" t="s">
        <v>4012</v>
      </c>
      <c r="K386" s="310" t="s">
        <v>4013</v>
      </c>
      <c r="L386" s="19"/>
      <c r="M386" s="13"/>
      <c r="N386" s="249"/>
      <c r="O386" s="356" t="s">
        <v>1048</v>
      </c>
      <c r="P386" s="356" t="s">
        <v>153</v>
      </c>
      <c r="Q386" s="356">
        <v>300</v>
      </c>
      <c r="R386" s="350">
        <v>500000</v>
      </c>
      <c r="S386" s="356">
        <v>300000</v>
      </c>
      <c r="T386" s="356">
        <f t="shared" ref="T386:T388" si="50">R386+S386</f>
        <v>800000</v>
      </c>
      <c r="U386" s="19"/>
      <c r="V386" s="19"/>
      <c r="W386" s="19"/>
      <c r="X386" s="19"/>
      <c r="Y386" s="19"/>
      <c r="Z386" s="376">
        <f t="shared" si="36"/>
        <v>0</v>
      </c>
      <c r="AA386" s="19"/>
      <c r="AB386" s="376">
        <f t="shared" si="46"/>
        <v>480000</v>
      </c>
      <c r="AC386" s="38">
        <f t="shared" si="41"/>
        <v>480000</v>
      </c>
      <c r="AD386" s="19" t="s">
        <v>4198</v>
      </c>
    </row>
    <row r="387" spans="1:30" s="36" customFormat="1" ht="47.25" x14ac:dyDescent="0.25">
      <c r="A387" s="113">
        <v>384</v>
      </c>
      <c r="B387" s="70">
        <v>43965</v>
      </c>
      <c r="C387" s="134" t="s">
        <v>4018</v>
      </c>
      <c r="D387" s="134" t="s">
        <v>954</v>
      </c>
      <c r="E387" s="134" t="s">
        <v>2327</v>
      </c>
      <c r="F387" s="379" t="s">
        <v>4017</v>
      </c>
      <c r="G387" s="78"/>
      <c r="H387" s="379" t="s">
        <v>4020</v>
      </c>
      <c r="I387" s="134" t="s">
        <v>4019</v>
      </c>
      <c r="J387" s="78" t="s">
        <v>4021</v>
      </c>
      <c r="K387" s="78" t="s">
        <v>4022</v>
      </c>
      <c r="L387" s="18"/>
      <c r="M387" s="333"/>
      <c r="N387" s="559"/>
      <c r="O387" s="581" t="s">
        <v>1048</v>
      </c>
      <c r="P387" s="581" t="s">
        <v>153</v>
      </c>
      <c r="Q387" s="581">
        <v>300</v>
      </c>
      <c r="R387" s="582">
        <v>500000</v>
      </c>
      <c r="S387" s="581">
        <v>300000</v>
      </c>
      <c r="T387" s="581">
        <f t="shared" si="50"/>
        <v>800000</v>
      </c>
      <c r="U387" s="18"/>
      <c r="V387" s="18"/>
      <c r="W387" s="18"/>
      <c r="X387" s="18"/>
      <c r="Y387" s="87">
        <v>0.4</v>
      </c>
      <c r="Z387" s="414">
        <f t="shared" si="36"/>
        <v>320000</v>
      </c>
      <c r="AA387" s="18"/>
      <c r="AB387" s="414">
        <f t="shared" si="46"/>
        <v>480000</v>
      </c>
      <c r="AC387" s="587">
        <f t="shared" si="41"/>
        <v>160000</v>
      </c>
      <c r="AD387" s="18" t="s">
        <v>4052</v>
      </c>
    </row>
    <row r="388" spans="1:30" ht="47.25" x14ac:dyDescent="0.25">
      <c r="A388" s="74">
        <v>385</v>
      </c>
      <c r="B388" s="22">
        <v>43966</v>
      </c>
      <c r="C388" s="148" t="s">
        <v>4023</v>
      </c>
      <c r="D388" s="148" t="s">
        <v>474</v>
      </c>
      <c r="E388" s="148"/>
      <c r="F388" s="101" t="s">
        <v>4024</v>
      </c>
      <c r="G388" s="269"/>
      <c r="H388" s="101" t="s">
        <v>1177</v>
      </c>
      <c r="I388" s="148" t="s">
        <v>4025</v>
      </c>
      <c r="J388" s="10"/>
      <c r="K388" s="10"/>
      <c r="L388" s="19"/>
      <c r="M388" s="278"/>
      <c r="N388" s="249"/>
      <c r="O388" s="19" t="s">
        <v>299</v>
      </c>
      <c r="P388" s="19" t="s">
        <v>153</v>
      </c>
      <c r="Q388" s="19">
        <v>500</v>
      </c>
      <c r="R388" s="13">
        <v>500000</v>
      </c>
      <c r="S388" s="19">
        <v>425000</v>
      </c>
      <c r="T388" s="19">
        <f t="shared" si="50"/>
        <v>925000</v>
      </c>
      <c r="U388" s="266"/>
      <c r="V388" s="266"/>
      <c r="W388" s="266"/>
      <c r="X388" s="266"/>
      <c r="Y388" s="165">
        <v>0.4</v>
      </c>
      <c r="Z388" s="376">
        <f t="shared" si="36"/>
        <v>370000</v>
      </c>
      <c r="AA388" s="19"/>
      <c r="AB388" s="376">
        <f t="shared" si="46"/>
        <v>555000</v>
      </c>
      <c r="AC388" s="38">
        <f t="shared" si="41"/>
        <v>185000</v>
      </c>
      <c r="AD388" s="19" t="s">
        <v>1641</v>
      </c>
    </row>
    <row r="389" spans="1:30" ht="47.25" x14ac:dyDescent="0.25">
      <c r="A389" s="311">
        <v>386</v>
      </c>
      <c r="B389" s="22">
        <v>43966</v>
      </c>
      <c r="C389" s="148" t="s">
        <v>4026</v>
      </c>
      <c r="D389" s="148" t="s">
        <v>984</v>
      </c>
      <c r="E389" s="148"/>
      <c r="F389" s="153" t="s">
        <v>4030</v>
      </c>
      <c r="G389" s="10"/>
      <c r="H389" s="101" t="s">
        <v>273</v>
      </c>
      <c r="I389" s="148" t="s">
        <v>4029</v>
      </c>
      <c r="J389" s="10" t="s">
        <v>4027</v>
      </c>
      <c r="K389" s="310" t="s">
        <v>4028</v>
      </c>
      <c r="L389" s="19"/>
      <c r="M389" s="13"/>
      <c r="N389" s="249"/>
      <c r="O389" s="356" t="s">
        <v>1048</v>
      </c>
      <c r="P389" s="356" t="s">
        <v>153</v>
      </c>
      <c r="Q389" s="356">
        <v>300</v>
      </c>
      <c r="R389" s="350">
        <v>500000</v>
      </c>
      <c r="S389" s="356">
        <v>300000</v>
      </c>
      <c r="T389" s="356">
        <f t="shared" ref="T389" si="51">R389+S389</f>
        <v>800000</v>
      </c>
      <c r="U389" s="19"/>
      <c r="V389" s="19"/>
      <c r="W389" s="19"/>
      <c r="X389" s="19"/>
      <c r="Y389" s="165">
        <v>0.3</v>
      </c>
      <c r="Z389" s="376">
        <f t="shared" si="36"/>
        <v>240000</v>
      </c>
      <c r="AA389" s="19"/>
      <c r="AB389" s="376">
        <f t="shared" si="46"/>
        <v>480000</v>
      </c>
      <c r="AC389" s="38">
        <f t="shared" si="41"/>
        <v>240000</v>
      </c>
      <c r="AD389" s="19" t="s">
        <v>4201</v>
      </c>
    </row>
    <row r="390" spans="1:30" s="217" customFormat="1" ht="47.25" x14ac:dyDescent="0.25">
      <c r="A390" s="113">
        <v>387</v>
      </c>
      <c r="B390" s="239">
        <v>43967</v>
      </c>
      <c r="C390" s="242" t="s">
        <v>4055</v>
      </c>
      <c r="D390" s="242" t="s">
        <v>309</v>
      </c>
      <c r="E390" s="242" t="s">
        <v>2327</v>
      </c>
      <c r="F390" s="244" t="s">
        <v>4054</v>
      </c>
      <c r="G390" s="220"/>
      <c r="H390" s="244" t="s">
        <v>4167</v>
      </c>
      <c r="I390" s="242" t="s">
        <v>4047</v>
      </c>
      <c r="J390" s="220"/>
      <c r="K390" s="220"/>
      <c r="L390" s="220" t="s">
        <v>4195</v>
      </c>
      <c r="M390" s="214"/>
      <c r="N390" s="399"/>
      <c r="O390" s="365" t="s">
        <v>1048</v>
      </c>
      <c r="P390" s="365" t="s">
        <v>153</v>
      </c>
      <c r="Q390" s="365">
        <v>300</v>
      </c>
      <c r="R390" s="364">
        <v>500000</v>
      </c>
      <c r="S390" s="365">
        <v>300000</v>
      </c>
      <c r="T390" s="365">
        <f t="shared" ref="T390:T392" si="52">R390+S390</f>
        <v>800000</v>
      </c>
      <c r="U390" s="220"/>
      <c r="V390" s="220"/>
      <c r="W390" s="220"/>
      <c r="X390" s="220"/>
      <c r="Y390" s="243">
        <v>0.4</v>
      </c>
      <c r="Z390" s="376">
        <f t="shared" si="36"/>
        <v>320000</v>
      </c>
      <c r="AA390" s="220"/>
      <c r="AB390" s="376">
        <f t="shared" si="46"/>
        <v>480000</v>
      </c>
      <c r="AC390" s="376">
        <f t="shared" si="41"/>
        <v>160000</v>
      </c>
      <c r="AD390" s="220" t="s">
        <v>4174</v>
      </c>
    </row>
    <row r="391" spans="1:30" ht="47.25" x14ac:dyDescent="0.25">
      <c r="A391" s="74">
        <v>388</v>
      </c>
      <c r="B391" s="22">
        <v>43969</v>
      </c>
      <c r="C391" s="148" t="s">
        <v>4056</v>
      </c>
      <c r="D391" s="148" t="s">
        <v>168</v>
      </c>
      <c r="E391" s="148" t="s">
        <v>457</v>
      </c>
      <c r="F391" s="101" t="s">
        <v>4057</v>
      </c>
      <c r="G391" s="10"/>
      <c r="H391" s="101" t="s">
        <v>168</v>
      </c>
      <c r="I391" s="148" t="s">
        <v>4058</v>
      </c>
      <c r="J391" s="10"/>
      <c r="K391" s="10"/>
      <c r="L391" s="19"/>
      <c r="M391" s="13"/>
      <c r="N391" s="249"/>
      <c r="O391" s="19" t="s">
        <v>299</v>
      </c>
      <c r="P391" s="19" t="s">
        <v>153</v>
      </c>
      <c r="Q391" s="19">
        <v>500</v>
      </c>
      <c r="R391" s="13">
        <v>500000</v>
      </c>
      <c r="S391" s="19">
        <v>425000</v>
      </c>
      <c r="T391" s="19">
        <f t="shared" si="52"/>
        <v>925000</v>
      </c>
      <c r="U391" s="19"/>
      <c r="V391" s="19"/>
      <c r="W391" s="19"/>
      <c r="X391" s="19"/>
      <c r="Y391" s="165">
        <v>0.3</v>
      </c>
      <c r="Z391" s="376">
        <f t="shared" si="36"/>
        <v>277500</v>
      </c>
      <c r="AA391" s="19"/>
      <c r="AB391" s="376">
        <f t="shared" si="46"/>
        <v>555000</v>
      </c>
      <c r="AC391" s="38">
        <f t="shared" si="41"/>
        <v>277500</v>
      </c>
      <c r="AD391" s="19" t="s">
        <v>4113</v>
      </c>
    </row>
    <row r="392" spans="1:30" s="272" customFormat="1" ht="47.25" x14ac:dyDescent="0.25">
      <c r="A392" s="311">
        <v>389</v>
      </c>
      <c r="B392" s="373">
        <v>43969</v>
      </c>
      <c r="C392" s="358" t="s">
        <v>4059</v>
      </c>
      <c r="D392" s="358" t="s">
        <v>273</v>
      </c>
      <c r="E392" s="358" t="s">
        <v>457</v>
      </c>
      <c r="F392" s="335" t="s">
        <v>2649</v>
      </c>
      <c r="G392" s="269"/>
      <c r="H392" s="335" t="s">
        <v>273</v>
      </c>
      <c r="I392" s="358" t="s">
        <v>2650</v>
      </c>
      <c r="J392" s="269"/>
      <c r="K392" s="269"/>
      <c r="L392" s="266"/>
      <c r="M392" s="278"/>
      <c r="N392" s="439"/>
      <c r="O392" s="266" t="s">
        <v>1878</v>
      </c>
      <c r="P392" s="266" t="s">
        <v>153</v>
      </c>
      <c r="Q392" s="266">
        <v>5000</v>
      </c>
      <c r="R392" s="278">
        <v>500000</v>
      </c>
      <c r="S392" s="266">
        <v>2250000</v>
      </c>
      <c r="T392" s="266">
        <f t="shared" si="52"/>
        <v>2750000</v>
      </c>
      <c r="U392" s="266"/>
      <c r="V392" s="266"/>
      <c r="W392" s="266"/>
      <c r="X392" s="266"/>
      <c r="Y392" s="271">
        <v>0.3</v>
      </c>
      <c r="Z392" s="605">
        <f t="shared" si="36"/>
        <v>825000</v>
      </c>
      <c r="AA392" s="266"/>
      <c r="AB392" s="605">
        <f t="shared" si="46"/>
        <v>1650000</v>
      </c>
      <c r="AC392" s="607">
        <f t="shared" si="41"/>
        <v>825000</v>
      </c>
      <c r="AD392" s="266"/>
    </row>
    <row r="393" spans="1:30" s="272" customFormat="1" ht="47.25" x14ac:dyDescent="0.25">
      <c r="A393" s="113">
        <v>390</v>
      </c>
      <c r="B393" s="373">
        <v>43969</v>
      </c>
      <c r="C393" s="358" t="s">
        <v>4061</v>
      </c>
      <c r="D393" s="358" t="s">
        <v>168</v>
      </c>
      <c r="E393" s="358" t="s">
        <v>457</v>
      </c>
      <c r="F393" s="335" t="s">
        <v>4060</v>
      </c>
      <c r="G393" s="269"/>
      <c r="H393" s="335" t="s">
        <v>168</v>
      </c>
      <c r="I393" s="358" t="s">
        <v>4062</v>
      </c>
      <c r="J393" s="269"/>
      <c r="K393" s="269"/>
      <c r="L393" s="266"/>
      <c r="M393" s="278"/>
      <c r="N393" s="439"/>
      <c r="O393" s="266" t="s">
        <v>1878</v>
      </c>
      <c r="P393" s="266" t="s">
        <v>153</v>
      </c>
      <c r="Q393" s="266">
        <v>5000</v>
      </c>
      <c r="R393" s="278">
        <v>500000</v>
      </c>
      <c r="S393" s="266">
        <v>2250000</v>
      </c>
      <c r="T393" s="266">
        <f t="shared" ref="T393:T395" si="53">R393+S393</f>
        <v>2750000</v>
      </c>
      <c r="U393" s="266"/>
      <c r="V393" s="266"/>
      <c r="W393" s="266"/>
      <c r="X393" s="266"/>
      <c r="Y393" s="271">
        <v>0.3</v>
      </c>
      <c r="Z393" s="605">
        <f t="shared" si="36"/>
        <v>825000</v>
      </c>
      <c r="AA393" s="266"/>
      <c r="AB393" s="605">
        <f t="shared" si="46"/>
        <v>1650000</v>
      </c>
      <c r="AC393" s="607">
        <f t="shared" si="41"/>
        <v>825000</v>
      </c>
      <c r="AD393" s="266"/>
    </row>
    <row r="394" spans="1:30" ht="47.25" x14ac:dyDescent="0.25">
      <c r="A394" s="74">
        <v>391</v>
      </c>
      <c r="B394" s="22">
        <v>43970</v>
      </c>
      <c r="C394" s="148" t="s">
        <v>4064</v>
      </c>
      <c r="D394" s="148" t="s">
        <v>168</v>
      </c>
      <c r="E394" s="148" t="s">
        <v>457</v>
      </c>
      <c r="F394" s="101" t="s">
        <v>4063</v>
      </c>
      <c r="G394" s="10"/>
      <c r="H394" s="101" t="s">
        <v>168</v>
      </c>
      <c r="I394" s="148" t="s">
        <v>4065</v>
      </c>
      <c r="J394" s="10"/>
      <c r="K394" s="10"/>
      <c r="L394" s="19"/>
      <c r="M394" s="13"/>
      <c r="N394" s="249"/>
      <c r="O394" s="356" t="s">
        <v>1048</v>
      </c>
      <c r="P394" s="356" t="s">
        <v>153</v>
      </c>
      <c r="Q394" s="356">
        <v>300</v>
      </c>
      <c r="R394" s="350">
        <v>500000</v>
      </c>
      <c r="S394" s="356">
        <v>300000</v>
      </c>
      <c r="T394" s="356">
        <f t="shared" si="53"/>
        <v>800000</v>
      </c>
      <c r="U394" s="19"/>
      <c r="V394" s="19"/>
      <c r="W394" s="19"/>
      <c r="X394" s="19"/>
      <c r="Y394" s="165">
        <v>0.3</v>
      </c>
      <c r="Z394" s="376">
        <f t="shared" si="36"/>
        <v>240000</v>
      </c>
      <c r="AA394" s="19"/>
      <c r="AB394" s="376">
        <f t="shared" si="46"/>
        <v>480000</v>
      </c>
      <c r="AC394" s="38">
        <f t="shared" si="41"/>
        <v>240000</v>
      </c>
      <c r="AD394" s="19" t="s">
        <v>1746</v>
      </c>
    </row>
    <row r="395" spans="1:30" ht="47.25" x14ac:dyDescent="0.25">
      <c r="A395" s="311">
        <v>392</v>
      </c>
      <c r="B395" s="22">
        <v>43971</v>
      </c>
      <c r="C395" s="148" t="s">
        <v>4067</v>
      </c>
      <c r="D395" s="148" t="s">
        <v>984</v>
      </c>
      <c r="E395" s="148" t="s">
        <v>2327</v>
      </c>
      <c r="F395" s="101" t="s">
        <v>4066</v>
      </c>
      <c r="G395" s="10"/>
      <c r="H395" s="101" t="s">
        <v>4168</v>
      </c>
      <c r="I395" s="148" t="s">
        <v>4068</v>
      </c>
      <c r="J395" s="10"/>
      <c r="K395" s="10"/>
      <c r="L395" s="19"/>
      <c r="M395" s="13"/>
      <c r="N395" s="249"/>
      <c r="O395" s="19" t="s">
        <v>1422</v>
      </c>
      <c r="P395" s="19" t="s">
        <v>180</v>
      </c>
      <c r="Q395" s="19">
        <v>2000</v>
      </c>
      <c r="R395" s="13">
        <v>500000</v>
      </c>
      <c r="S395" s="19">
        <v>1100000</v>
      </c>
      <c r="T395" s="19">
        <f t="shared" si="53"/>
        <v>1600000</v>
      </c>
      <c r="U395" s="19"/>
      <c r="V395" s="19"/>
      <c r="W395" s="19"/>
      <c r="X395" s="19"/>
      <c r="Y395" s="165">
        <v>0.3</v>
      </c>
      <c r="Z395" s="376">
        <f t="shared" si="36"/>
        <v>480000</v>
      </c>
      <c r="AA395" s="19"/>
      <c r="AB395" s="376">
        <f t="shared" si="46"/>
        <v>960000</v>
      </c>
      <c r="AC395" s="38">
        <f t="shared" si="41"/>
        <v>480000</v>
      </c>
      <c r="AD395" s="19" t="s">
        <v>4173</v>
      </c>
    </row>
    <row r="396" spans="1:30" ht="47.25" x14ac:dyDescent="0.25">
      <c r="A396" s="113">
        <v>393</v>
      </c>
      <c r="B396" s="22">
        <v>43971</v>
      </c>
      <c r="C396" s="148" t="s">
        <v>525</v>
      </c>
      <c r="D396" s="148" t="s">
        <v>309</v>
      </c>
      <c r="E396" s="148" t="s">
        <v>2327</v>
      </c>
      <c r="F396" s="101" t="s">
        <v>526</v>
      </c>
      <c r="G396" s="10"/>
      <c r="H396" s="101" t="s">
        <v>4167</v>
      </c>
      <c r="I396" s="148" t="s">
        <v>4069</v>
      </c>
      <c r="J396" s="10"/>
      <c r="K396" s="10"/>
      <c r="L396" s="19"/>
      <c r="M396" s="13"/>
      <c r="N396" s="249"/>
      <c r="O396" s="19" t="s">
        <v>1878</v>
      </c>
      <c r="P396" s="19" t="s">
        <v>94</v>
      </c>
      <c r="Q396" s="19">
        <v>5000</v>
      </c>
      <c r="R396" s="13"/>
      <c r="S396" s="19">
        <v>2250000</v>
      </c>
      <c r="T396" s="247">
        <f>R396+S396</f>
        <v>2250000</v>
      </c>
      <c r="U396" s="19"/>
      <c r="V396" s="19"/>
      <c r="W396" s="19"/>
      <c r="X396" s="19"/>
      <c r="Y396" s="165">
        <v>0.3</v>
      </c>
      <c r="Z396" s="376">
        <f t="shared" si="36"/>
        <v>675000</v>
      </c>
      <c r="AA396" s="19"/>
      <c r="AB396" s="376">
        <f t="shared" si="46"/>
        <v>1350000</v>
      </c>
      <c r="AC396" s="38">
        <f t="shared" si="41"/>
        <v>675000</v>
      </c>
      <c r="AD396" s="19" t="s">
        <v>4172</v>
      </c>
    </row>
    <row r="397" spans="1:30" ht="47.25" x14ac:dyDescent="0.25">
      <c r="A397" s="74">
        <v>394</v>
      </c>
      <c r="B397" s="22">
        <v>43972</v>
      </c>
      <c r="C397" s="148" t="s">
        <v>3398</v>
      </c>
      <c r="D397" s="148" t="s">
        <v>474</v>
      </c>
      <c r="E397" s="148" t="s">
        <v>457</v>
      </c>
      <c r="F397" s="101" t="s">
        <v>3397</v>
      </c>
      <c r="G397" s="269"/>
      <c r="H397" s="101" t="s">
        <v>888</v>
      </c>
      <c r="I397" s="148" t="s">
        <v>3399</v>
      </c>
      <c r="J397" s="10"/>
      <c r="K397" s="10"/>
      <c r="L397" s="19"/>
      <c r="M397" s="278"/>
      <c r="N397" s="249"/>
      <c r="O397" s="356" t="s">
        <v>1048</v>
      </c>
      <c r="P397" s="19" t="s">
        <v>94</v>
      </c>
      <c r="Q397" s="356">
        <v>300</v>
      </c>
      <c r="R397" s="350"/>
      <c r="S397" s="356">
        <v>300000</v>
      </c>
      <c r="T397" s="356">
        <f t="shared" ref="T397:T399" si="54">R397+S397</f>
        <v>300000</v>
      </c>
      <c r="U397" s="266"/>
      <c r="V397" s="266"/>
      <c r="W397" s="266"/>
      <c r="X397" s="266"/>
      <c r="Y397" s="165">
        <v>0.4</v>
      </c>
      <c r="Z397" s="376">
        <f t="shared" si="36"/>
        <v>120000</v>
      </c>
      <c r="AA397" s="19"/>
      <c r="AB397" s="376">
        <f t="shared" si="46"/>
        <v>180000</v>
      </c>
      <c r="AC397" s="38">
        <f t="shared" si="41"/>
        <v>60000</v>
      </c>
      <c r="AD397" s="19" t="s">
        <v>1641</v>
      </c>
    </row>
    <row r="398" spans="1:30" ht="47.25" x14ac:dyDescent="0.25">
      <c r="A398" s="311">
        <v>395</v>
      </c>
      <c r="B398" s="22">
        <v>43972</v>
      </c>
      <c r="C398" s="148" t="s">
        <v>4097</v>
      </c>
      <c r="D398" s="148" t="s">
        <v>2872</v>
      </c>
      <c r="E398" s="148"/>
      <c r="F398" s="101" t="s">
        <v>4098</v>
      </c>
      <c r="G398" s="10"/>
      <c r="H398" s="101" t="s">
        <v>345</v>
      </c>
      <c r="I398" s="148" t="s">
        <v>4099</v>
      </c>
      <c r="J398" s="10"/>
      <c r="K398" s="10"/>
      <c r="L398" s="19"/>
      <c r="M398" s="13"/>
      <c r="N398" s="249"/>
      <c r="O398" s="19" t="s">
        <v>299</v>
      </c>
      <c r="P398" s="19" t="s">
        <v>153</v>
      </c>
      <c r="Q398" s="19">
        <v>500</v>
      </c>
      <c r="R398" s="13">
        <v>500000</v>
      </c>
      <c r="S398" s="19">
        <v>425000</v>
      </c>
      <c r="T398" s="19">
        <f t="shared" si="54"/>
        <v>925000</v>
      </c>
      <c r="U398" s="19"/>
      <c r="V398" s="19"/>
      <c r="W398" s="19"/>
      <c r="X398" s="19"/>
      <c r="Y398" s="165">
        <v>0.35</v>
      </c>
      <c r="Z398" s="376">
        <f t="shared" si="36"/>
        <v>323750</v>
      </c>
      <c r="AA398" s="19"/>
      <c r="AB398" s="376">
        <f t="shared" si="46"/>
        <v>555000</v>
      </c>
      <c r="AC398" s="38">
        <f t="shared" si="41"/>
        <v>231250</v>
      </c>
      <c r="AD398" s="19" t="s">
        <v>4103</v>
      </c>
    </row>
    <row r="399" spans="1:30" s="272" customFormat="1" ht="47.25" x14ac:dyDescent="0.25">
      <c r="A399" s="113">
        <v>396</v>
      </c>
      <c r="B399" s="373">
        <v>43974</v>
      </c>
      <c r="C399" s="358" t="s">
        <v>4101</v>
      </c>
      <c r="D399" s="358" t="s">
        <v>168</v>
      </c>
      <c r="E399" s="358" t="s">
        <v>457</v>
      </c>
      <c r="F399" s="335" t="s">
        <v>4100</v>
      </c>
      <c r="G399" s="269"/>
      <c r="H399" s="335" t="s">
        <v>168</v>
      </c>
      <c r="I399" s="358" t="s">
        <v>4102</v>
      </c>
      <c r="J399" s="269"/>
      <c r="K399" s="269"/>
      <c r="L399" s="266"/>
      <c r="M399" s="278"/>
      <c r="N399" s="439"/>
      <c r="O399" s="507" t="s">
        <v>1048</v>
      </c>
      <c r="P399" s="507" t="s">
        <v>153</v>
      </c>
      <c r="Q399" s="507">
        <v>300</v>
      </c>
      <c r="R399" s="549">
        <v>500000</v>
      </c>
      <c r="S399" s="507">
        <v>300000</v>
      </c>
      <c r="T399" s="507">
        <f t="shared" si="54"/>
        <v>800000</v>
      </c>
      <c r="U399" s="266"/>
      <c r="V399" s="266"/>
      <c r="W399" s="266"/>
      <c r="X399" s="266"/>
      <c r="Y399" s="271">
        <v>0.3</v>
      </c>
      <c r="Z399" s="605">
        <f t="shared" si="36"/>
        <v>240000</v>
      </c>
      <c r="AA399" s="266"/>
      <c r="AB399" s="605">
        <f t="shared" si="46"/>
        <v>480000</v>
      </c>
      <c r="AC399" s="607">
        <f t="shared" si="41"/>
        <v>240000</v>
      </c>
      <c r="AD399" s="266"/>
    </row>
    <row r="400" spans="1:30" ht="47.25" x14ac:dyDescent="0.25">
      <c r="A400" s="74">
        <v>397</v>
      </c>
      <c r="B400" s="22">
        <v>43974</v>
      </c>
      <c r="C400" s="148" t="s">
        <v>4111</v>
      </c>
      <c r="D400" s="148" t="s">
        <v>350</v>
      </c>
      <c r="E400" s="148" t="s">
        <v>3646</v>
      </c>
      <c r="F400" s="101" t="s">
        <v>4110</v>
      </c>
      <c r="G400" s="10"/>
      <c r="H400" s="101" t="s">
        <v>2043</v>
      </c>
      <c r="I400" s="148" t="s">
        <v>4112</v>
      </c>
      <c r="J400" s="10"/>
      <c r="K400" s="10"/>
      <c r="L400" s="19"/>
      <c r="M400" s="13"/>
      <c r="N400" s="249"/>
      <c r="O400" s="356" t="s">
        <v>1048</v>
      </c>
      <c r="P400" s="356" t="s">
        <v>153</v>
      </c>
      <c r="Q400" s="356">
        <v>300</v>
      </c>
      <c r="R400" s="350">
        <v>500000</v>
      </c>
      <c r="S400" s="356">
        <v>300000</v>
      </c>
      <c r="T400" s="356">
        <f t="shared" ref="T400" si="55">R400+S400</f>
        <v>800000</v>
      </c>
      <c r="U400" s="19"/>
      <c r="V400" s="19"/>
      <c r="W400" s="19"/>
      <c r="X400" s="19"/>
      <c r="Y400" s="165">
        <v>0.4</v>
      </c>
      <c r="Z400" s="376">
        <f t="shared" si="36"/>
        <v>320000</v>
      </c>
      <c r="AA400" s="19"/>
      <c r="AB400" s="376">
        <f t="shared" si="46"/>
        <v>480000</v>
      </c>
      <c r="AC400" s="38">
        <f t="shared" si="41"/>
        <v>160000</v>
      </c>
      <c r="AD400" s="19"/>
    </row>
    <row r="401" spans="1:30" ht="47.25" x14ac:dyDescent="0.25">
      <c r="A401" s="311">
        <v>398</v>
      </c>
      <c r="B401" s="22">
        <v>43977</v>
      </c>
      <c r="C401" s="148" t="s">
        <v>4115</v>
      </c>
      <c r="D401" s="148" t="s">
        <v>168</v>
      </c>
      <c r="E401" s="148" t="s">
        <v>457</v>
      </c>
      <c r="F401" s="101" t="s">
        <v>4114</v>
      </c>
      <c r="G401" s="10"/>
      <c r="H401" s="101" t="s">
        <v>168</v>
      </c>
      <c r="I401" s="148" t="s">
        <v>4116</v>
      </c>
      <c r="J401" s="10"/>
      <c r="K401" s="10"/>
      <c r="L401" s="19"/>
      <c r="M401" s="13"/>
      <c r="N401" s="249"/>
      <c r="O401" s="356" t="s">
        <v>1048</v>
      </c>
      <c r="P401" s="356" t="s">
        <v>153</v>
      </c>
      <c r="Q401" s="356">
        <v>300</v>
      </c>
      <c r="R401" s="350">
        <v>500000</v>
      </c>
      <c r="S401" s="356">
        <v>300000</v>
      </c>
      <c r="T401" s="356">
        <f t="shared" ref="T401" si="56">R401+S401</f>
        <v>800000</v>
      </c>
      <c r="U401" s="19"/>
      <c r="V401" s="19"/>
      <c r="W401" s="19"/>
      <c r="X401" s="19"/>
      <c r="Y401" s="165">
        <v>0.3</v>
      </c>
      <c r="Z401" s="376">
        <f t="shared" si="36"/>
        <v>240000</v>
      </c>
      <c r="AA401" s="19"/>
      <c r="AB401" s="376">
        <f t="shared" si="46"/>
        <v>480000</v>
      </c>
      <c r="AC401" s="38">
        <f t="shared" si="41"/>
        <v>240000</v>
      </c>
      <c r="AD401" s="19" t="s">
        <v>4237</v>
      </c>
    </row>
    <row r="402" spans="1:30" ht="47.25" x14ac:dyDescent="0.25">
      <c r="A402" s="113">
        <v>399</v>
      </c>
      <c r="B402" s="22">
        <v>43977</v>
      </c>
      <c r="C402" s="148" t="s">
        <v>4118</v>
      </c>
      <c r="D402" s="148" t="s">
        <v>4120</v>
      </c>
      <c r="E402" s="148"/>
      <c r="F402" s="101" t="s">
        <v>4117</v>
      </c>
      <c r="G402" s="10"/>
      <c r="H402" s="101" t="s">
        <v>1693</v>
      </c>
      <c r="I402" s="148" t="s">
        <v>4119</v>
      </c>
      <c r="J402" s="10">
        <v>976697083</v>
      </c>
      <c r="K402" s="10"/>
      <c r="L402" s="19"/>
      <c r="M402" s="13"/>
      <c r="N402" s="249"/>
      <c r="O402" s="356" t="s">
        <v>1048</v>
      </c>
      <c r="P402" s="356" t="s">
        <v>153</v>
      </c>
      <c r="Q402" s="356">
        <v>300</v>
      </c>
      <c r="R402" s="350">
        <v>500000</v>
      </c>
      <c r="S402" s="356">
        <v>300000</v>
      </c>
      <c r="T402" s="356">
        <f t="shared" ref="T402" si="57">R402+S402</f>
        <v>800000</v>
      </c>
      <c r="U402" s="19"/>
      <c r="V402" s="19"/>
      <c r="W402" s="19"/>
      <c r="X402" s="19"/>
      <c r="Y402" s="165">
        <v>0.4</v>
      </c>
      <c r="Z402" s="376">
        <f t="shared" si="36"/>
        <v>320000</v>
      </c>
      <c r="AA402" s="19"/>
      <c r="AB402" s="376">
        <f t="shared" si="46"/>
        <v>480000</v>
      </c>
      <c r="AC402" s="38">
        <f t="shared" si="41"/>
        <v>160000</v>
      </c>
      <c r="AD402" s="19" t="s">
        <v>4199</v>
      </c>
    </row>
    <row r="403" spans="1:30" ht="47.25" x14ac:dyDescent="0.25">
      <c r="A403" s="74">
        <v>400</v>
      </c>
      <c r="B403" s="22">
        <v>43977</v>
      </c>
      <c r="C403" s="148" t="s">
        <v>4122</v>
      </c>
      <c r="D403" s="148" t="s">
        <v>3961</v>
      </c>
      <c r="E403" s="148"/>
      <c r="F403" s="101" t="s">
        <v>4121</v>
      </c>
      <c r="G403" s="10"/>
      <c r="H403" s="101" t="s">
        <v>2610</v>
      </c>
      <c r="I403" s="148" t="s">
        <v>4123</v>
      </c>
      <c r="J403" s="10"/>
      <c r="K403" s="10"/>
      <c r="L403" s="19"/>
      <c r="M403" s="13"/>
      <c r="N403" s="249"/>
      <c r="O403" s="356" t="s">
        <v>1048</v>
      </c>
      <c r="P403" s="356" t="s">
        <v>153</v>
      </c>
      <c r="Q403" s="356">
        <v>300</v>
      </c>
      <c r="R403" s="350">
        <v>500000</v>
      </c>
      <c r="S403" s="356">
        <v>300000</v>
      </c>
      <c r="T403" s="356">
        <f t="shared" ref="T403" si="58">R403+S403</f>
        <v>800000</v>
      </c>
      <c r="U403" s="19"/>
      <c r="V403" s="19"/>
      <c r="W403" s="19"/>
      <c r="X403" s="19"/>
      <c r="Y403" s="165">
        <v>0.4</v>
      </c>
      <c r="Z403" s="376">
        <f t="shared" si="36"/>
        <v>320000</v>
      </c>
      <c r="AA403" s="19"/>
      <c r="AB403" s="376">
        <f t="shared" si="46"/>
        <v>480000</v>
      </c>
      <c r="AC403" s="38">
        <f t="shared" si="41"/>
        <v>160000</v>
      </c>
      <c r="AD403" s="19" t="s">
        <v>4202</v>
      </c>
    </row>
    <row r="404" spans="1:30" s="7" customFormat="1" ht="31.5" x14ac:dyDescent="0.25">
      <c r="A404" s="311">
        <v>401</v>
      </c>
      <c r="B404" s="122">
        <v>43977</v>
      </c>
      <c r="C404" s="157" t="s">
        <v>4124</v>
      </c>
      <c r="D404" s="157" t="s">
        <v>4125</v>
      </c>
      <c r="E404" s="157"/>
      <c r="F404" s="29" t="s">
        <v>4126</v>
      </c>
      <c r="G404" s="10"/>
      <c r="H404" s="29" t="s">
        <v>448</v>
      </c>
      <c r="I404" s="157" t="s">
        <v>4127</v>
      </c>
      <c r="J404" s="10"/>
      <c r="K404" s="10"/>
      <c r="L404" s="10"/>
      <c r="M404" s="11"/>
      <c r="N404" s="249"/>
      <c r="O404" s="356" t="s">
        <v>1048</v>
      </c>
      <c r="P404" s="356" t="s">
        <v>153</v>
      </c>
      <c r="Q404" s="356">
        <v>300</v>
      </c>
      <c r="R404" s="350">
        <v>500000</v>
      </c>
      <c r="S404" s="356">
        <v>300000</v>
      </c>
      <c r="T404" s="356">
        <f t="shared" ref="T404" si="59">R404+S404</f>
        <v>800000</v>
      </c>
      <c r="U404" s="10"/>
      <c r="V404" s="10"/>
      <c r="W404" s="10"/>
      <c r="X404" s="10"/>
      <c r="Y404" s="98">
        <v>0.4</v>
      </c>
      <c r="Z404" s="376">
        <f t="shared" si="36"/>
        <v>320000</v>
      </c>
      <c r="AA404" s="10"/>
      <c r="AB404" s="38">
        <f t="shared" si="46"/>
        <v>480000</v>
      </c>
      <c r="AC404" s="38">
        <f t="shared" si="41"/>
        <v>160000</v>
      </c>
      <c r="AD404" s="10" t="s">
        <v>4329</v>
      </c>
    </row>
    <row r="405" spans="1:30" ht="47.25" x14ac:dyDescent="0.25">
      <c r="A405" s="113">
        <v>402</v>
      </c>
      <c r="B405" s="22">
        <v>43977</v>
      </c>
      <c r="C405" s="148" t="s">
        <v>3328</v>
      </c>
      <c r="D405" s="148" t="s">
        <v>474</v>
      </c>
      <c r="E405" s="148"/>
      <c r="F405" s="101" t="s">
        <v>3329</v>
      </c>
      <c r="G405" s="269"/>
      <c r="H405" s="101" t="s">
        <v>168</v>
      </c>
      <c r="I405" s="148" t="s">
        <v>3330</v>
      </c>
      <c r="J405" s="10"/>
      <c r="K405" s="10"/>
      <c r="L405" s="19"/>
      <c r="M405" s="278"/>
      <c r="N405" s="249"/>
      <c r="O405" s="356" t="s">
        <v>1048</v>
      </c>
      <c r="P405" s="356" t="s">
        <v>94</v>
      </c>
      <c r="Q405" s="356">
        <v>300</v>
      </c>
      <c r="R405" s="350"/>
      <c r="S405" s="356">
        <v>300000</v>
      </c>
      <c r="T405" s="356">
        <f t="shared" ref="T405:T406" si="60">R405+S405</f>
        <v>300000</v>
      </c>
      <c r="U405" s="266"/>
      <c r="V405" s="266"/>
      <c r="W405" s="266"/>
      <c r="X405" s="266"/>
      <c r="Y405" s="165">
        <v>0.4</v>
      </c>
      <c r="Z405" s="376">
        <f t="shared" si="36"/>
        <v>120000</v>
      </c>
      <c r="AA405" s="19"/>
      <c r="AB405" s="376">
        <f t="shared" si="46"/>
        <v>180000</v>
      </c>
      <c r="AC405" s="38">
        <f t="shared" si="41"/>
        <v>60000</v>
      </c>
      <c r="AD405" s="19" t="s">
        <v>1641</v>
      </c>
    </row>
    <row r="406" spans="1:30" ht="47.25" x14ac:dyDescent="0.25">
      <c r="A406" s="74">
        <v>403</v>
      </c>
      <c r="B406" s="22">
        <v>43978</v>
      </c>
      <c r="C406" s="148" t="s">
        <v>4129</v>
      </c>
      <c r="D406" s="148" t="s">
        <v>168</v>
      </c>
      <c r="E406" s="148" t="s">
        <v>457</v>
      </c>
      <c r="F406" s="101" t="s">
        <v>4128</v>
      </c>
      <c r="G406" s="10"/>
      <c r="H406" s="101" t="s">
        <v>168</v>
      </c>
      <c r="I406" s="148" t="s">
        <v>4130</v>
      </c>
      <c r="J406" s="10"/>
      <c r="K406" s="10"/>
      <c r="L406" s="19"/>
      <c r="M406" s="13"/>
      <c r="N406" s="249"/>
      <c r="O406" s="356" t="s">
        <v>1048</v>
      </c>
      <c r="P406" s="356" t="s">
        <v>153</v>
      </c>
      <c r="Q406" s="356">
        <v>300</v>
      </c>
      <c r="R406" s="350">
        <v>500000</v>
      </c>
      <c r="S406" s="356">
        <v>300000</v>
      </c>
      <c r="T406" s="356">
        <f t="shared" si="60"/>
        <v>800000</v>
      </c>
      <c r="U406" s="19"/>
      <c r="V406" s="19"/>
      <c r="W406" s="19"/>
      <c r="X406" s="19"/>
      <c r="Y406" s="165">
        <v>0.3</v>
      </c>
      <c r="Z406" s="376">
        <f t="shared" si="36"/>
        <v>240000</v>
      </c>
      <c r="AA406" s="19"/>
      <c r="AB406" s="376">
        <f t="shared" si="46"/>
        <v>480000</v>
      </c>
      <c r="AC406" s="38">
        <f t="shared" si="41"/>
        <v>240000</v>
      </c>
      <c r="AD406" s="19" t="s">
        <v>4830</v>
      </c>
    </row>
    <row r="407" spans="1:30" ht="63" x14ac:dyDescent="0.25">
      <c r="A407" s="311">
        <v>404</v>
      </c>
      <c r="B407" s="22">
        <v>43978</v>
      </c>
      <c r="C407" s="148" t="s">
        <v>4131</v>
      </c>
      <c r="D407" s="148" t="s">
        <v>168</v>
      </c>
      <c r="E407" s="148" t="s">
        <v>457</v>
      </c>
      <c r="F407" s="101" t="s">
        <v>4132</v>
      </c>
      <c r="G407" s="10"/>
      <c r="H407" s="101" t="s">
        <v>168</v>
      </c>
      <c r="I407" s="148" t="s">
        <v>4133</v>
      </c>
      <c r="J407" s="10"/>
      <c r="K407" s="10"/>
      <c r="L407" s="19"/>
      <c r="M407" s="13"/>
      <c r="N407" s="249"/>
      <c r="O407" s="356" t="s">
        <v>1048</v>
      </c>
      <c r="P407" s="356" t="s">
        <v>153</v>
      </c>
      <c r="Q407" s="356">
        <v>300</v>
      </c>
      <c r="R407" s="350">
        <v>500000</v>
      </c>
      <c r="S407" s="356">
        <v>300000</v>
      </c>
      <c r="T407" s="356">
        <f t="shared" ref="T407" si="61">R407+S407</f>
        <v>800000</v>
      </c>
      <c r="U407" s="19"/>
      <c r="V407" s="19"/>
      <c r="W407" s="19"/>
      <c r="X407" s="19"/>
      <c r="Y407" s="165">
        <v>0.3</v>
      </c>
      <c r="Z407" s="376">
        <f t="shared" si="36"/>
        <v>240000</v>
      </c>
      <c r="AA407" s="19"/>
      <c r="AB407" s="376">
        <f t="shared" si="46"/>
        <v>480000</v>
      </c>
      <c r="AC407" s="38">
        <f t="shared" si="41"/>
        <v>240000</v>
      </c>
      <c r="AD407" s="19" t="s">
        <v>4146</v>
      </c>
    </row>
    <row r="408" spans="1:30" ht="47.25" x14ac:dyDescent="0.25">
      <c r="A408" s="113">
        <v>405</v>
      </c>
      <c r="B408" s="22">
        <v>43978</v>
      </c>
      <c r="C408" s="148" t="s">
        <v>4143</v>
      </c>
      <c r="D408" s="148" t="s">
        <v>474</v>
      </c>
      <c r="E408" s="148"/>
      <c r="F408" s="101" t="s">
        <v>4142</v>
      </c>
      <c r="G408" s="269"/>
      <c r="H408" s="101" t="s">
        <v>1030</v>
      </c>
      <c r="I408" s="148" t="s">
        <v>4144</v>
      </c>
      <c r="J408" s="10"/>
      <c r="K408" s="10"/>
      <c r="L408" s="19"/>
      <c r="M408" s="278"/>
      <c r="N408" s="249"/>
      <c r="O408" s="356" t="s">
        <v>1048</v>
      </c>
      <c r="P408" s="356" t="s">
        <v>153</v>
      </c>
      <c r="Q408" s="356">
        <v>300</v>
      </c>
      <c r="R408" s="350">
        <v>500000</v>
      </c>
      <c r="S408" s="356">
        <v>300000</v>
      </c>
      <c r="T408" s="356">
        <f t="shared" ref="T408" si="62">R408+S408</f>
        <v>800000</v>
      </c>
      <c r="U408" s="266"/>
      <c r="V408" s="266"/>
      <c r="W408" s="266"/>
      <c r="X408" s="266"/>
      <c r="Y408" s="165">
        <v>0.4</v>
      </c>
      <c r="Z408" s="376">
        <f t="shared" si="36"/>
        <v>320000</v>
      </c>
      <c r="AA408" s="19"/>
      <c r="AB408" s="376">
        <f t="shared" si="46"/>
        <v>480000</v>
      </c>
      <c r="AC408" s="38">
        <f t="shared" si="41"/>
        <v>160000</v>
      </c>
      <c r="AD408" s="19" t="s">
        <v>1641</v>
      </c>
    </row>
    <row r="409" spans="1:30" ht="47.25" x14ac:dyDescent="0.25">
      <c r="A409" s="74">
        <v>406</v>
      </c>
      <c r="B409" s="22">
        <v>43980</v>
      </c>
      <c r="C409" s="148" t="s">
        <v>4151</v>
      </c>
      <c r="D409" s="148" t="s">
        <v>309</v>
      </c>
      <c r="E409" s="148" t="s">
        <v>2327</v>
      </c>
      <c r="F409" s="101" t="s">
        <v>4150</v>
      </c>
      <c r="G409" s="10"/>
      <c r="H409" s="101" t="s">
        <v>4169</v>
      </c>
      <c r="I409" s="148" t="s">
        <v>4152</v>
      </c>
      <c r="J409" s="10"/>
      <c r="K409" s="10"/>
      <c r="L409" s="19"/>
      <c r="M409" s="13"/>
      <c r="N409" s="249"/>
      <c r="O409" s="356" t="s">
        <v>1048</v>
      </c>
      <c r="P409" s="356" t="s">
        <v>153</v>
      </c>
      <c r="Q409" s="356">
        <v>300</v>
      </c>
      <c r="R409" s="350">
        <v>500000</v>
      </c>
      <c r="S409" s="356">
        <v>300000</v>
      </c>
      <c r="T409" s="356">
        <f t="shared" ref="T409" si="63">R409+S409</f>
        <v>800000</v>
      </c>
      <c r="U409" s="19"/>
      <c r="V409" s="19"/>
      <c r="W409" s="19"/>
      <c r="X409" s="19"/>
      <c r="Y409" s="19"/>
      <c r="Z409" s="376">
        <f t="shared" si="36"/>
        <v>0</v>
      </c>
      <c r="AA409" s="19"/>
      <c r="AB409" s="376">
        <f t="shared" si="46"/>
        <v>480000</v>
      </c>
      <c r="AC409" s="38">
        <f t="shared" si="41"/>
        <v>480000</v>
      </c>
      <c r="AD409" s="19" t="s">
        <v>4171</v>
      </c>
    </row>
    <row r="410" spans="1:30" ht="47.25" x14ac:dyDescent="0.25">
      <c r="A410" s="311">
        <v>407</v>
      </c>
      <c r="B410" s="22">
        <v>43980</v>
      </c>
      <c r="C410" s="148" t="s">
        <v>4160</v>
      </c>
      <c r="D410" s="148" t="s">
        <v>510</v>
      </c>
      <c r="E410" s="148" t="s">
        <v>2327</v>
      </c>
      <c r="F410" s="101" t="s">
        <v>4159</v>
      </c>
      <c r="G410" s="10"/>
      <c r="H410" s="101" t="s">
        <v>1639</v>
      </c>
      <c r="I410" s="148" t="s">
        <v>4162</v>
      </c>
      <c r="J410" s="10" t="s">
        <v>4161</v>
      </c>
      <c r="K410" s="10"/>
      <c r="L410" s="19"/>
      <c r="M410" s="13"/>
      <c r="N410" s="249"/>
      <c r="O410" s="356" t="s">
        <v>1048</v>
      </c>
      <c r="P410" s="356" t="s">
        <v>153</v>
      </c>
      <c r="Q410" s="356">
        <v>300</v>
      </c>
      <c r="R410" s="350">
        <v>500000</v>
      </c>
      <c r="S410" s="356">
        <v>300000</v>
      </c>
      <c r="T410" s="356">
        <f t="shared" ref="T410" si="64">R410+S410</f>
        <v>800000</v>
      </c>
      <c r="U410" s="19"/>
      <c r="V410" s="19"/>
      <c r="W410" s="19"/>
      <c r="X410" s="19"/>
      <c r="Y410" s="165">
        <v>0.3</v>
      </c>
      <c r="Z410" s="376">
        <f t="shared" si="36"/>
        <v>240000</v>
      </c>
      <c r="AA410" s="19"/>
      <c r="AB410" s="376">
        <f t="shared" si="46"/>
        <v>480000</v>
      </c>
      <c r="AC410" s="38">
        <f t="shared" si="41"/>
        <v>240000</v>
      </c>
      <c r="AD410" s="19" t="s">
        <v>783</v>
      </c>
    </row>
    <row r="411" spans="1:30" s="272" customFormat="1" ht="47.25" x14ac:dyDescent="0.25">
      <c r="A411" s="113">
        <v>408</v>
      </c>
      <c r="B411" s="373">
        <v>43980</v>
      </c>
      <c r="C411" s="358" t="s">
        <v>4163</v>
      </c>
      <c r="D411" s="358" t="s">
        <v>2835</v>
      </c>
      <c r="E411" s="358" t="s">
        <v>2327</v>
      </c>
      <c r="F411" s="335" t="s">
        <v>4164</v>
      </c>
      <c r="G411" s="269"/>
      <c r="H411" s="335" t="s">
        <v>273</v>
      </c>
      <c r="I411" s="358" t="s">
        <v>4165</v>
      </c>
      <c r="J411" s="269"/>
      <c r="K411" s="269"/>
      <c r="L411" s="266"/>
      <c r="M411" s="278"/>
      <c r="N411" s="439"/>
      <c r="O411" s="507" t="s">
        <v>1048</v>
      </c>
      <c r="P411" s="507" t="s">
        <v>153</v>
      </c>
      <c r="Q411" s="507">
        <v>300</v>
      </c>
      <c r="R411" s="549">
        <v>500000</v>
      </c>
      <c r="S411" s="507">
        <v>300000</v>
      </c>
      <c r="T411" s="507">
        <f t="shared" ref="T411" si="65">R411+S411</f>
        <v>800000</v>
      </c>
      <c r="U411" s="266"/>
      <c r="V411" s="266"/>
      <c r="W411" s="266"/>
      <c r="X411" s="266"/>
      <c r="Y411" s="271">
        <v>0.3</v>
      </c>
      <c r="Z411" s="605">
        <f t="shared" si="36"/>
        <v>240000</v>
      </c>
      <c r="AA411" s="266"/>
      <c r="AB411" s="605">
        <f t="shared" si="46"/>
        <v>480000</v>
      </c>
      <c r="AC411" s="607">
        <f t="shared" si="41"/>
        <v>240000</v>
      </c>
      <c r="AD411" s="266" t="s">
        <v>4170</v>
      </c>
    </row>
    <row r="412" spans="1:30" ht="78.75" x14ac:dyDescent="0.25">
      <c r="A412" s="74">
        <v>409</v>
      </c>
      <c r="B412" s="22">
        <v>43981</v>
      </c>
      <c r="C412" s="148" t="s">
        <v>4186</v>
      </c>
      <c r="D412" s="148" t="s">
        <v>2163</v>
      </c>
      <c r="E412" s="148" t="s">
        <v>3646</v>
      </c>
      <c r="F412" s="101" t="s">
        <v>4187</v>
      </c>
      <c r="G412" s="10"/>
      <c r="H412" s="101" t="s">
        <v>273</v>
      </c>
      <c r="I412" s="148" t="s">
        <v>4188</v>
      </c>
      <c r="J412" s="10" t="s">
        <v>4189</v>
      </c>
      <c r="K412" s="310" t="s">
        <v>4190</v>
      </c>
      <c r="L412" s="19"/>
      <c r="M412" s="13"/>
      <c r="N412" s="249"/>
      <c r="O412" s="356" t="s">
        <v>1048</v>
      </c>
      <c r="P412" s="356" t="s">
        <v>153</v>
      </c>
      <c r="Q412" s="356">
        <v>300</v>
      </c>
      <c r="R412" s="350">
        <v>500000</v>
      </c>
      <c r="S412" s="356">
        <v>300000</v>
      </c>
      <c r="T412" s="356">
        <f t="shared" ref="T412" si="66">R412+S412</f>
        <v>800000</v>
      </c>
      <c r="U412" s="19"/>
      <c r="V412" s="19"/>
      <c r="W412" s="19"/>
      <c r="X412" s="19"/>
      <c r="Y412" s="165">
        <v>0.4</v>
      </c>
      <c r="Z412" s="376">
        <f t="shared" si="36"/>
        <v>320000</v>
      </c>
      <c r="AA412" s="19"/>
      <c r="AB412" s="376">
        <f t="shared" si="46"/>
        <v>480000</v>
      </c>
      <c r="AC412" s="38">
        <f t="shared" si="41"/>
        <v>160000</v>
      </c>
      <c r="AD412" s="19" t="s">
        <v>4236</v>
      </c>
    </row>
    <row r="413" spans="1:30" ht="47.25" x14ac:dyDescent="0.25">
      <c r="A413" s="311">
        <v>410</v>
      </c>
      <c r="B413" s="22">
        <v>43981</v>
      </c>
      <c r="C413" s="148" t="s">
        <v>4191</v>
      </c>
      <c r="D413" s="148" t="s">
        <v>2163</v>
      </c>
      <c r="E413" s="148" t="s">
        <v>3646</v>
      </c>
      <c r="F413" s="101" t="s">
        <v>4192</v>
      </c>
      <c r="G413" s="10"/>
      <c r="H413" s="101" t="s">
        <v>1772</v>
      </c>
      <c r="I413" s="148" t="s">
        <v>4193</v>
      </c>
      <c r="J413" s="10" t="s">
        <v>4189</v>
      </c>
      <c r="K413" s="310" t="s">
        <v>4190</v>
      </c>
      <c r="L413" s="19"/>
      <c r="M413" s="13"/>
      <c r="N413" s="249"/>
      <c r="O413" s="356" t="s">
        <v>1048</v>
      </c>
      <c r="P413" s="356" t="s">
        <v>153</v>
      </c>
      <c r="Q413" s="356">
        <v>300</v>
      </c>
      <c r="R413" s="350">
        <v>500000</v>
      </c>
      <c r="S413" s="356">
        <v>300000</v>
      </c>
      <c r="T413" s="356">
        <v>800000</v>
      </c>
      <c r="U413" s="165">
        <v>0.4</v>
      </c>
      <c r="V413" s="19"/>
      <c r="W413" s="19"/>
      <c r="X413" s="19"/>
      <c r="Y413" s="165">
        <v>0.4</v>
      </c>
      <c r="Z413" s="376">
        <f t="shared" si="36"/>
        <v>320000</v>
      </c>
      <c r="AA413" s="19"/>
      <c r="AB413" s="376">
        <f t="shared" si="46"/>
        <v>480000</v>
      </c>
      <c r="AC413" s="38">
        <f t="shared" si="41"/>
        <v>160000</v>
      </c>
      <c r="AD413" s="19" t="s">
        <v>4235</v>
      </c>
    </row>
    <row r="414" spans="1:30" s="272" customFormat="1" ht="47.25" x14ac:dyDescent="0.25">
      <c r="A414" s="113">
        <v>411</v>
      </c>
      <c r="B414" s="373">
        <v>43983</v>
      </c>
      <c r="C414" s="358" t="s">
        <v>4206</v>
      </c>
      <c r="D414" s="358" t="s">
        <v>168</v>
      </c>
      <c r="E414" s="358" t="s">
        <v>457</v>
      </c>
      <c r="F414" s="335" t="s">
        <v>4205</v>
      </c>
      <c r="G414" s="269"/>
      <c r="H414" s="335" t="s">
        <v>168</v>
      </c>
      <c r="I414" s="358" t="s">
        <v>4207</v>
      </c>
      <c r="J414" s="269"/>
      <c r="K414" s="269"/>
      <c r="L414" s="266"/>
      <c r="M414" s="278"/>
      <c r="N414" s="439"/>
      <c r="O414" s="507" t="s">
        <v>1048</v>
      </c>
      <c r="P414" s="507" t="s">
        <v>153</v>
      </c>
      <c r="Q414" s="507">
        <v>300</v>
      </c>
      <c r="R414" s="549">
        <v>500000</v>
      </c>
      <c r="S414" s="507">
        <v>300000</v>
      </c>
      <c r="T414" s="507">
        <v>800000</v>
      </c>
      <c r="U414" s="266"/>
      <c r="V414" s="266"/>
      <c r="W414" s="266"/>
      <c r="X414" s="266"/>
      <c r="Y414" s="271">
        <v>0.3</v>
      </c>
      <c r="Z414" s="605">
        <f t="shared" ref="Z414:Z477" si="67">T414*Y414</f>
        <v>240000</v>
      </c>
      <c r="AA414" s="266"/>
      <c r="AB414" s="605">
        <f t="shared" si="46"/>
        <v>480000</v>
      </c>
      <c r="AC414" s="607">
        <f t="shared" si="41"/>
        <v>240000</v>
      </c>
      <c r="AD414" s="266"/>
    </row>
    <row r="415" spans="1:30" ht="47.25" x14ac:dyDescent="0.25">
      <c r="A415" s="74">
        <v>412</v>
      </c>
      <c r="B415" s="22">
        <v>43983</v>
      </c>
      <c r="C415" s="148" t="s">
        <v>4209</v>
      </c>
      <c r="D415" s="148" t="s">
        <v>457</v>
      </c>
      <c r="E415" s="148"/>
      <c r="F415" s="101" t="s">
        <v>4208</v>
      </c>
      <c r="G415" s="10"/>
      <c r="H415" s="101"/>
      <c r="I415" s="148" t="s">
        <v>4210</v>
      </c>
      <c r="J415" s="10"/>
      <c r="K415" s="10"/>
      <c r="L415" s="19"/>
      <c r="M415" s="13"/>
      <c r="N415" s="249"/>
      <c r="O415" s="19" t="s">
        <v>299</v>
      </c>
      <c r="P415" s="19" t="s">
        <v>153</v>
      </c>
      <c r="Q415" s="19">
        <v>500</v>
      </c>
      <c r="R415" s="13">
        <v>500000</v>
      </c>
      <c r="S415" s="19">
        <v>425000</v>
      </c>
      <c r="T415" s="19">
        <f t="shared" ref="T415" si="68">R415+S415</f>
        <v>925000</v>
      </c>
      <c r="U415" s="19"/>
      <c r="V415" s="19"/>
      <c r="W415" s="19"/>
      <c r="X415" s="19"/>
      <c r="Y415" s="165">
        <v>0.4</v>
      </c>
      <c r="Z415" s="376">
        <f t="shared" si="67"/>
        <v>370000</v>
      </c>
      <c r="AA415" s="19"/>
      <c r="AB415" s="376">
        <f t="shared" si="46"/>
        <v>555000</v>
      </c>
      <c r="AC415" s="38">
        <f t="shared" si="41"/>
        <v>185000</v>
      </c>
      <c r="AD415" s="19"/>
    </row>
    <row r="416" spans="1:30" s="272" customFormat="1" ht="47.25" x14ac:dyDescent="0.25">
      <c r="A416" s="311">
        <v>413</v>
      </c>
      <c r="B416" s="373">
        <v>43985</v>
      </c>
      <c r="C416" s="358" t="s">
        <v>4212</v>
      </c>
      <c r="D416" s="358" t="s">
        <v>309</v>
      </c>
      <c r="E416" s="358" t="s">
        <v>2327</v>
      </c>
      <c r="F416" s="335" t="s">
        <v>4211</v>
      </c>
      <c r="G416" s="269"/>
      <c r="H416" s="335" t="s">
        <v>273</v>
      </c>
      <c r="I416" s="358" t="s">
        <v>4213</v>
      </c>
      <c r="J416" s="269"/>
      <c r="K416" s="269"/>
      <c r="L416" s="266"/>
      <c r="M416" s="278"/>
      <c r="N416" s="439"/>
      <c r="O416" s="266" t="s">
        <v>299</v>
      </c>
      <c r="P416" s="266" t="s">
        <v>153</v>
      </c>
      <c r="Q416" s="266">
        <v>500</v>
      </c>
      <c r="R416" s="278">
        <v>500000</v>
      </c>
      <c r="S416" s="266">
        <v>425000</v>
      </c>
      <c r="T416" s="266">
        <f t="shared" ref="T416" si="69">R416+S416</f>
        <v>925000</v>
      </c>
      <c r="U416" s="266"/>
      <c r="V416" s="266"/>
      <c r="W416" s="266"/>
      <c r="X416" s="266"/>
      <c r="Y416" s="271">
        <v>0.35</v>
      </c>
      <c r="Z416" s="605">
        <f t="shared" si="67"/>
        <v>323750</v>
      </c>
      <c r="AA416" s="266"/>
      <c r="AB416" s="605">
        <f t="shared" si="46"/>
        <v>555000</v>
      </c>
      <c r="AC416" s="607">
        <f t="shared" si="41"/>
        <v>231250</v>
      </c>
      <c r="AD416" s="266"/>
    </row>
    <row r="417" spans="1:30" s="272" customFormat="1" ht="47.25" x14ac:dyDescent="0.25">
      <c r="A417" s="113">
        <v>414</v>
      </c>
      <c r="B417" s="373">
        <v>43985</v>
      </c>
      <c r="C417" s="358" t="s">
        <v>4215</v>
      </c>
      <c r="D417" s="358" t="s">
        <v>2483</v>
      </c>
      <c r="E417" s="358"/>
      <c r="F417" s="335" t="s">
        <v>4214</v>
      </c>
      <c r="G417" s="269"/>
      <c r="H417" s="335" t="s">
        <v>273</v>
      </c>
      <c r="I417" s="358" t="s">
        <v>4216</v>
      </c>
      <c r="J417" s="269"/>
      <c r="K417" s="269"/>
      <c r="L417" s="266"/>
      <c r="M417" s="278"/>
      <c r="N417" s="439"/>
      <c r="O417" s="507" t="s">
        <v>1048</v>
      </c>
      <c r="P417" s="507" t="s">
        <v>153</v>
      </c>
      <c r="Q417" s="507">
        <v>300</v>
      </c>
      <c r="R417" s="549">
        <v>500000</v>
      </c>
      <c r="S417" s="507">
        <v>300000</v>
      </c>
      <c r="T417" s="507">
        <v>800000</v>
      </c>
      <c r="U417" s="266"/>
      <c r="V417" s="266"/>
      <c r="W417" s="266"/>
      <c r="X417" s="266"/>
      <c r="Y417" s="271">
        <v>0.3</v>
      </c>
      <c r="Z417" s="605">
        <f t="shared" si="67"/>
        <v>240000</v>
      </c>
      <c r="AA417" s="266"/>
      <c r="AB417" s="605">
        <f t="shared" si="46"/>
        <v>480000</v>
      </c>
      <c r="AC417" s="607">
        <f t="shared" si="41"/>
        <v>240000</v>
      </c>
      <c r="AD417" s="266"/>
    </row>
    <row r="418" spans="1:30" ht="63" x14ac:dyDescent="0.25">
      <c r="A418" s="74">
        <v>415</v>
      </c>
      <c r="B418" s="22">
        <v>43986</v>
      </c>
      <c r="C418" s="148" t="s">
        <v>4218</v>
      </c>
      <c r="D418" s="148" t="s">
        <v>168</v>
      </c>
      <c r="E418" s="148" t="s">
        <v>457</v>
      </c>
      <c r="F418" s="101" t="s">
        <v>4217</v>
      </c>
      <c r="G418" s="10"/>
      <c r="H418" s="101" t="s">
        <v>168</v>
      </c>
      <c r="I418" s="148" t="s">
        <v>4219</v>
      </c>
      <c r="J418" s="10"/>
      <c r="K418" s="10"/>
      <c r="L418" s="19"/>
      <c r="M418" s="13"/>
      <c r="N418" s="249"/>
      <c r="O418" s="356" t="s">
        <v>1048</v>
      </c>
      <c r="P418" s="356" t="s">
        <v>153</v>
      </c>
      <c r="Q418" s="356">
        <v>300</v>
      </c>
      <c r="R418" s="350">
        <v>500000</v>
      </c>
      <c r="S418" s="356">
        <v>300000</v>
      </c>
      <c r="T418" s="356">
        <v>800000</v>
      </c>
      <c r="U418" s="19"/>
      <c r="V418" s="19"/>
      <c r="W418" s="19"/>
      <c r="X418" s="19"/>
      <c r="Y418" s="165">
        <v>0.4</v>
      </c>
      <c r="Z418" s="376">
        <f t="shared" si="67"/>
        <v>320000</v>
      </c>
      <c r="AA418" s="19"/>
      <c r="AB418" s="376">
        <f t="shared" si="46"/>
        <v>480000</v>
      </c>
      <c r="AC418" s="38">
        <f t="shared" si="41"/>
        <v>160000</v>
      </c>
      <c r="AD418" s="19" t="s">
        <v>783</v>
      </c>
    </row>
    <row r="419" spans="1:30" ht="47.25" x14ac:dyDescent="0.25">
      <c r="A419" s="311">
        <v>416</v>
      </c>
      <c r="B419" s="22">
        <v>43986</v>
      </c>
      <c r="C419" s="148" t="s">
        <v>4221</v>
      </c>
      <c r="D419" s="148" t="s">
        <v>502</v>
      </c>
      <c r="E419" s="148"/>
      <c r="F419" s="101" t="s">
        <v>4220</v>
      </c>
      <c r="G419" s="10"/>
      <c r="H419" s="101" t="s">
        <v>3499</v>
      </c>
      <c r="I419" s="148" t="s">
        <v>4222</v>
      </c>
      <c r="J419" s="10" t="s">
        <v>4223</v>
      </c>
      <c r="K419" s="310" t="s">
        <v>4224</v>
      </c>
      <c r="L419" s="19"/>
      <c r="M419" s="13"/>
      <c r="N419" s="249"/>
      <c r="O419" s="19" t="s">
        <v>299</v>
      </c>
      <c r="P419" s="19" t="s">
        <v>153</v>
      </c>
      <c r="Q419" s="19">
        <v>500</v>
      </c>
      <c r="R419" s="13">
        <v>500000</v>
      </c>
      <c r="S419" s="19">
        <v>425000</v>
      </c>
      <c r="T419" s="19">
        <f t="shared" ref="T419" si="70">R419+S419</f>
        <v>925000</v>
      </c>
      <c r="U419" s="19"/>
      <c r="V419" s="19"/>
      <c r="W419" s="19"/>
      <c r="X419" s="19"/>
      <c r="Y419" s="165">
        <v>0.35</v>
      </c>
      <c r="Z419" s="376">
        <f t="shared" si="67"/>
        <v>323750</v>
      </c>
      <c r="AA419" s="19"/>
      <c r="AB419" s="376">
        <f t="shared" si="46"/>
        <v>555000</v>
      </c>
      <c r="AC419" s="38">
        <f t="shared" si="41"/>
        <v>231250</v>
      </c>
      <c r="AD419" s="19" t="s">
        <v>783</v>
      </c>
    </row>
    <row r="420" spans="1:30" s="272" customFormat="1" ht="47.25" x14ac:dyDescent="0.25">
      <c r="A420" s="113">
        <v>417</v>
      </c>
      <c r="B420" s="373">
        <v>43987</v>
      </c>
      <c r="C420" s="358" t="s">
        <v>4225</v>
      </c>
      <c r="D420" s="358" t="s">
        <v>2163</v>
      </c>
      <c r="E420" s="358" t="s">
        <v>3646</v>
      </c>
      <c r="F420" s="335" t="s">
        <v>4091</v>
      </c>
      <c r="G420" s="269"/>
      <c r="H420" s="335" t="s">
        <v>1030</v>
      </c>
      <c r="I420" s="358" t="s">
        <v>4092</v>
      </c>
      <c r="J420" s="269"/>
      <c r="K420" s="269"/>
      <c r="L420" s="266"/>
      <c r="M420" s="278"/>
      <c r="N420" s="439"/>
      <c r="O420" s="507" t="s">
        <v>1048</v>
      </c>
      <c r="P420" s="507" t="s">
        <v>153</v>
      </c>
      <c r="Q420" s="507">
        <v>300</v>
      </c>
      <c r="R420" s="549">
        <v>500000</v>
      </c>
      <c r="S420" s="507">
        <v>300000</v>
      </c>
      <c r="T420" s="507">
        <v>800000</v>
      </c>
      <c r="U420" s="266"/>
      <c r="V420" s="266"/>
      <c r="W420" s="266"/>
      <c r="X420" s="266"/>
      <c r="Y420" s="271">
        <v>0.4</v>
      </c>
      <c r="Z420" s="605">
        <f t="shared" si="67"/>
        <v>320000</v>
      </c>
      <c r="AA420" s="266"/>
      <c r="AB420" s="605">
        <f t="shared" si="46"/>
        <v>480000</v>
      </c>
      <c r="AC420" s="607">
        <f t="shared" si="41"/>
        <v>160000</v>
      </c>
      <c r="AD420" s="266"/>
    </row>
    <row r="421" spans="1:30" ht="47.25" x14ac:dyDescent="0.25">
      <c r="A421" s="74">
        <v>418</v>
      </c>
      <c r="B421" s="22">
        <v>43987</v>
      </c>
      <c r="C421" s="148" t="s">
        <v>4227</v>
      </c>
      <c r="D421" s="148" t="s">
        <v>4228</v>
      </c>
      <c r="E421" s="148" t="s">
        <v>3646</v>
      </c>
      <c r="F421" s="101" t="s">
        <v>4226</v>
      </c>
      <c r="G421" s="10"/>
      <c r="H421" s="101" t="s">
        <v>1256</v>
      </c>
      <c r="I421" s="148" t="s">
        <v>4229</v>
      </c>
      <c r="J421" s="10" t="s">
        <v>4231</v>
      </c>
      <c r="K421" s="310" t="s">
        <v>4230</v>
      </c>
      <c r="L421" s="19"/>
      <c r="M421" s="13"/>
      <c r="N421" s="249"/>
      <c r="O421" s="356" t="s">
        <v>1048</v>
      </c>
      <c r="P421" s="356" t="s">
        <v>153</v>
      </c>
      <c r="Q421" s="356">
        <v>300</v>
      </c>
      <c r="R421" s="350">
        <v>500000</v>
      </c>
      <c r="S421" s="356">
        <v>300000</v>
      </c>
      <c r="T421" s="356">
        <v>800000</v>
      </c>
      <c r="U421" s="19"/>
      <c r="V421" s="19"/>
      <c r="W421" s="19"/>
      <c r="X421" s="19"/>
      <c r="Y421" s="165">
        <v>0.4</v>
      </c>
      <c r="Z421" s="376">
        <f t="shared" si="67"/>
        <v>320000</v>
      </c>
      <c r="AA421" s="19"/>
      <c r="AB421" s="376">
        <f t="shared" si="46"/>
        <v>480000</v>
      </c>
      <c r="AC421" s="38">
        <f t="shared" si="41"/>
        <v>160000</v>
      </c>
      <c r="AD421" s="19" t="s">
        <v>5044</v>
      </c>
    </row>
    <row r="422" spans="1:30" s="272" customFormat="1" ht="63" x14ac:dyDescent="0.25">
      <c r="A422" s="311">
        <v>419</v>
      </c>
      <c r="B422" s="373">
        <v>43988</v>
      </c>
      <c r="C422" s="358" t="s">
        <v>4233</v>
      </c>
      <c r="D422" s="358" t="s">
        <v>168</v>
      </c>
      <c r="E422" s="358" t="s">
        <v>457</v>
      </c>
      <c r="F422" s="335" t="s">
        <v>4232</v>
      </c>
      <c r="G422" s="269"/>
      <c r="H422" s="335" t="s">
        <v>168</v>
      </c>
      <c r="I422" s="358" t="s">
        <v>4234</v>
      </c>
      <c r="J422" s="269"/>
      <c r="K422" s="269"/>
      <c r="L422" s="266"/>
      <c r="M422" s="278"/>
      <c r="N422" s="439"/>
      <c r="O422" s="266" t="s">
        <v>1422</v>
      </c>
      <c r="P422" s="266" t="s">
        <v>180</v>
      </c>
      <c r="Q422" s="266">
        <v>2000</v>
      </c>
      <c r="R422" s="278">
        <v>500000</v>
      </c>
      <c r="S422" s="266">
        <v>1100000</v>
      </c>
      <c r="T422" s="266">
        <f t="shared" ref="T422" si="71">R422+S422</f>
        <v>1600000</v>
      </c>
      <c r="U422" s="266"/>
      <c r="V422" s="266"/>
      <c r="W422" s="266"/>
      <c r="X422" s="266"/>
      <c r="Y422" s="271">
        <v>0.3</v>
      </c>
      <c r="Z422" s="605">
        <f t="shared" si="67"/>
        <v>480000</v>
      </c>
      <c r="AA422" s="266"/>
      <c r="AB422" s="605">
        <f t="shared" si="46"/>
        <v>960000</v>
      </c>
      <c r="AC422" s="607">
        <f t="shared" si="41"/>
        <v>480000</v>
      </c>
      <c r="AD422" s="266"/>
    </row>
    <row r="423" spans="1:30" s="272" customFormat="1" ht="63" x14ac:dyDescent="0.25">
      <c r="A423" s="113">
        <v>420</v>
      </c>
      <c r="B423" s="373">
        <v>43991</v>
      </c>
      <c r="C423" s="358" t="s">
        <v>4239</v>
      </c>
      <c r="D423" s="358" t="s">
        <v>168</v>
      </c>
      <c r="E423" s="358" t="s">
        <v>457</v>
      </c>
      <c r="F423" s="335" t="s">
        <v>4238</v>
      </c>
      <c r="G423" s="269"/>
      <c r="H423" s="335" t="s">
        <v>168</v>
      </c>
      <c r="I423" s="358" t="s">
        <v>4240</v>
      </c>
      <c r="J423" s="269"/>
      <c r="K423" s="269"/>
      <c r="L423" s="266"/>
      <c r="M423" s="278"/>
      <c r="N423" s="439"/>
      <c r="O423" s="507" t="s">
        <v>1048</v>
      </c>
      <c r="P423" s="507" t="s">
        <v>153</v>
      </c>
      <c r="Q423" s="507">
        <v>300</v>
      </c>
      <c r="R423" s="549">
        <v>500000</v>
      </c>
      <c r="S423" s="507">
        <v>300000</v>
      </c>
      <c r="T423" s="507">
        <v>800000</v>
      </c>
      <c r="U423" s="266"/>
      <c r="V423" s="266"/>
      <c r="W423" s="266"/>
      <c r="X423" s="266"/>
      <c r="Y423" s="271">
        <v>0.3</v>
      </c>
      <c r="Z423" s="605">
        <f t="shared" si="67"/>
        <v>240000</v>
      </c>
      <c r="AA423" s="266"/>
      <c r="AB423" s="605">
        <f t="shared" si="46"/>
        <v>480000</v>
      </c>
      <c r="AC423" s="607">
        <f t="shared" si="41"/>
        <v>240000</v>
      </c>
      <c r="AD423" s="266"/>
    </row>
    <row r="424" spans="1:30" s="272" customFormat="1" ht="47.25" x14ac:dyDescent="0.25">
      <c r="A424" s="74">
        <v>421</v>
      </c>
      <c r="B424" s="373">
        <v>43991</v>
      </c>
      <c r="C424" s="358" t="s">
        <v>4242</v>
      </c>
      <c r="D424" s="358" t="s">
        <v>168</v>
      </c>
      <c r="E424" s="358" t="s">
        <v>457</v>
      </c>
      <c r="F424" s="335" t="s">
        <v>4241</v>
      </c>
      <c r="G424" s="269"/>
      <c r="H424" s="335" t="s">
        <v>168</v>
      </c>
      <c r="I424" s="358" t="s">
        <v>4243</v>
      </c>
      <c r="J424" s="269"/>
      <c r="K424" s="269"/>
      <c r="L424" s="266"/>
      <c r="M424" s="278"/>
      <c r="N424" s="439"/>
      <c r="O424" s="507" t="s">
        <v>1048</v>
      </c>
      <c r="P424" s="507" t="s">
        <v>153</v>
      </c>
      <c r="Q424" s="507">
        <v>300</v>
      </c>
      <c r="R424" s="549">
        <v>500000</v>
      </c>
      <c r="S424" s="507">
        <v>300000</v>
      </c>
      <c r="T424" s="507">
        <v>800000</v>
      </c>
      <c r="U424" s="266"/>
      <c r="V424" s="266"/>
      <c r="W424" s="266"/>
      <c r="X424" s="266"/>
      <c r="Y424" s="271">
        <v>0.3</v>
      </c>
      <c r="Z424" s="605">
        <f t="shared" si="67"/>
        <v>240000</v>
      </c>
      <c r="AA424" s="266"/>
      <c r="AB424" s="605">
        <f t="shared" si="46"/>
        <v>480000</v>
      </c>
      <c r="AC424" s="607">
        <f t="shared" si="41"/>
        <v>240000</v>
      </c>
      <c r="AD424" s="266"/>
    </row>
    <row r="425" spans="1:30" s="272" customFormat="1" ht="47.25" x14ac:dyDescent="0.25">
      <c r="A425" s="311">
        <v>422</v>
      </c>
      <c r="B425" s="373">
        <v>43991</v>
      </c>
      <c r="C425" s="358" t="s">
        <v>3331</v>
      </c>
      <c r="D425" s="358" t="s">
        <v>474</v>
      </c>
      <c r="E425" s="358" t="s">
        <v>2327</v>
      </c>
      <c r="F425" s="335" t="s">
        <v>4244</v>
      </c>
      <c r="G425" s="269"/>
      <c r="H425" s="335" t="s">
        <v>888</v>
      </c>
      <c r="I425" s="358" t="s">
        <v>3332</v>
      </c>
      <c r="J425" s="269"/>
      <c r="K425" s="269"/>
      <c r="L425" s="266"/>
      <c r="M425" s="278"/>
      <c r="N425" s="439"/>
      <c r="O425" s="507" t="s">
        <v>1048</v>
      </c>
      <c r="P425" s="507" t="s">
        <v>94</v>
      </c>
      <c r="Q425" s="507">
        <v>300</v>
      </c>
      <c r="R425" s="549"/>
      <c r="S425" s="507">
        <v>300000</v>
      </c>
      <c r="T425" s="507">
        <v>300000</v>
      </c>
      <c r="U425" s="266"/>
      <c r="V425" s="266"/>
      <c r="W425" s="266"/>
      <c r="X425" s="266"/>
      <c r="Y425" s="271">
        <v>0.4</v>
      </c>
      <c r="Z425" s="605">
        <f t="shared" si="67"/>
        <v>120000</v>
      </c>
      <c r="AA425" s="266"/>
      <c r="AB425" s="605">
        <f t="shared" si="46"/>
        <v>180000</v>
      </c>
      <c r="AC425" s="607">
        <f t="shared" si="41"/>
        <v>60000</v>
      </c>
      <c r="AD425" s="266"/>
    </row>
    <row r="426" spans="1:30" s="272" customFormat="1" ht="63" x14ac:dyDescent="0.25">
      <c r="A426" s="113">
        <v>423</v>
      </c>
      <c r="B426" s="373">
        <v>43991</v>
      </c>
      <c r="C426" s="358" t="s">
        <v>3966</v>
      </c>
      <c r="D426" s="358" t="s">
        <v>474</v>
      </c>
      <c r="E426" s="358" t="s">
        <v>2327</v>
      </c>
      <c r="F426" s="335" t="s">
        <v>3967</v>
      </c>
      <c r="G426" s="269"/>
      <c r="H426" s="335" t="s">
        <v>353</v>
      </c>
      <c r="I426" s="358" t="s">
        <v>3968</v>
      </c>
      <c r="J426" s="269"/>
      <c r="K426" s="269"/>
      <c r="L426" s="266"/>
      <c r="M426" s="278"/>
      <c r="N426" s="439"/>
      <c r="O426" s="507" t="s">
        <v>1048</v>
      </c>
      <c r="P426" s="507" t="s">
        <v>94</v>
      </c>
      <c r="Q426" s="507">
        <v>300</v>
      </c>
      <c r="R426" s="549"/>
      <c r="S426" s="507">
        <v>300000</v>
      </c>
      <c r="T426" s="507">
        <v>300000</v>
      </c>
      <c r="U426" s="266"/>
      <c r="V426" s="266"/>
      <c r="W426" s="266"/>
      <c r="X426" s="266"/>
      <c r="Y426" s="271">
        <v>0.4</v>
      </c>
      <c r="Z426" s="605">
        <f t="shared" si="67"/>
        <v>120000</v>
      </c>
      <c r="AA426" s="266"/>
      <c r="AB426" s="605">
        <f t="shared" si="46"/>
        <v>180000</v>
      </c>
      <c r="AC426" s="607">
        <f t="shared" si="41"/>
        <v>60000</v>
      </c>
      <c r="AD426" s="266"/>
    </row>
    <row r="427" spans="1:30" s="272" customFormat="1" ht="47.25" x14ac:dyDescent="0.25">
      <c r="A427" s="74">
        <v>424</v>
      </c>
      <c r="B427" s="373">
        <v>43991</v>
      </c>
      <c r="C427" s="358" t="s">
        <v>4246</v>
      </c>
      <c r="D427" s="358" t="s">
        <v>4247</v>
      </c>
      <c r="E427" s="358" t="s">
        <v>2327</v>
      </c>
      <c r="F427" s="335" t="s">
        <v>4245</v>
      </c>
      <c r="G427" s="269"/>
      <c r="H427" s="335" t="s">
        <v>1639</v>
      </c>
      <c r="I427" s="358" t="s">
        <v>4248</v>
      </c>
      <c r="J427" s="269"/>
      <c r="K427" s="269"/>
      <c r="L427" s="266"/>
      <c r="M427" s="278"/>
      <c r="N427" s="439"/>
      <c r="O427" s="507" t="s">
        <v>1048</v>
      </c>
      <c r="P427" s="507" t="s">
        <v>153</v>
      </c>
      <c r="Q427" s="507">
        <v>300</v>
      </c>
      <c r="R427" s="549">
        <v>500000</v>
      </c>
      <c r="S427" s="507">
        <v>300000</v>
      </c>
      <c r="T427" s="507">
        <v>800000</v>
      </c>
      <c r="U427" s="266"/>
      <c r="V427" s="266"/>
      <c r="W427" s="266"/>
      <c r="X427" s="266"/>
      <c r="Y427" s="266"/>
      <c r="Z427" s="605">
        <f t="shared" si="67"/>
        <v>0</v>
      </c>
      <c r="AA427" s="266"/>
      <c r="AB427" s="605">
        <f t="shared" si="46"/>
        <v>480000</v>
      </c>
      <c r="AC427" s="607">
        <f t="shared" si="41"/>
        <v>480000</v>
      </c>
      <c r="AD427" s="266"/>
    </row>
    <row r="428" spans="1:30" s="272" customFormat="1" ht="47.25" x14ac:dyDescent="0.25">
      <c r="A428" s="311">
        <v>425</v>
      </c>
      <c r="B428" s="373">
        <v>43991</v>
      </c>
      <c r="C428" s="358" t="s">
        <v>4250</v>
      </c>
      <c r="D428" s="358" t="s">
        <v>4252</v>
      </c>
      <c r="E428" s="358"/>
      <c r="F428" s="335" t="s">
        <v>4249</v>
      </c>
      <c r="G428" s="269"/>
      <c r="H428" s="335" t="s">
        <v>273</v>
      </c>
      <c r="I428" s="358" t="s">
        <v>4251</v>
      </c>
      <c r="J428" s="269"/>
      <c r="K428" s="269"/>
      <c r="L428" s="266"/>
      <c r="M428" s="278"/>
      <c r="N428" s="439"/>
      <c r="O428" s="507" t="s">
        <v>1048</v>
      </c>
      <c r="P428" s="507" t="s">
        <v>153</v>
      </c>
      <c r="Q428" s="507">
        <v>300</v>
      </c>
      <c r="R428" s="549">
        <v>500000</v>
      </c>
      <c r="S428" s="507">
        <v>300000</v>
      </c>
      <c r="T428" s="507">
        <v>800000</v>
      </c>
      <c r="U428" s="266"/>
      <c r="V428" s="266"/>
      <c r="W428" s="266"/>
      <c r="X428" s="266"/>
      <c r="Y428" s="271">
        <v>0.3</v>
      </c>
      <c r="Z428" s="605">
        <f t="shared" si="67"/>
        <v>240000</v>
      </c>
      <c r="AA428" s="266" t="s">
        <v>4253</v>
      </c>
      <c r="AB428" s="605">
        <f t="shared" si="46"/>
        <v>480000</v>
      </c>
      <c r="AC428" s="607">
        <f t="shared" si="41"/>
        <v>240000</v>
      </c>
      <c r="AD428" s="266"/>
    </row>
    <row r="429" spans="1:30" s="272" customFormat="1" ht="63" x14ac:dyDescent="0.25">
      <c r="A429" s="113">
        <v>426</v>
      </c>
      <c r="B429" s="373">
        <v>43991</v>
      </c>
      <c r="C429" s="358" t="s">
        <v>4255</v>
      </c>
      <c r="D429" s="358" t="s">
        <v>4252</v>
      </c>
      <c r="E429" s="358"/>
      <c r="F429" s="335" t="s">
        <v>4254</v>
      </c>
      <c r="G429" s="269"/>
      <c r="H429" s="335" t="s">
        <v>273</v>
      </c>
      <c r="I429" s="358" t="s">
        <v>4256</v>
      </c>
      <c r="J429" s="269"/>
      <c r="K429" s="269"/>
      <c r="L429" s="266"/>
      <c r="M429" s="278"/>
      <c r="N429" s="439"/>
      <c r="O429" s="507" t="s">
        <v>1048</v>
      </c>
      <c r="P429" s="507" t="s">
        <v>153</v>
      </c>
      <c r="Q429" s="507">
        <v>300</v>
      </c>
      <c r="R429" s="549">
        <v>500000</v>
      </c>
      <c r="S429" s="507">
        <v>300000</v>
      </c>
      <c r="T429" s="507">
        <v>800000</v>
      </c>
      <c r="U429" s="266"/>
      <c r="V429" s="266"/>
      <c r="W429" s="266"/>
      <c r="X429" s="266"/>
      <c r="Y429" s="271">
        <v>0.3</v>
      </c>
      <c r="Z429" s="605">
        <f t="shared" si="67"/>
        <v>240000</v>
      </c>
      <c r="AA429" s="266" t="s">
        <v>4253</v>
      </c>
      <c r="AB429" s="605">
        <f t="shared" si="46"/>
        <v>480000</v>
      </c>
      <c r="AC429" s="607">
        <f t="shared" si="41"/>
        <v>240000</v>
      </c>
      <c r="AD429" s="266"/>
    </row>
    <row r="430" spans="1:30" ht="47.25" x14ac:dyDescent="0.25">
      <c r="A430" s="74">
        <v>427</v>
      </c>
      <c r="B430" s="22">
        <v>43992</v>
      </c>
      <c r="C430" s="148" t="s">
        <v>4258</v>
      </c>
      <c r="D430" s="148"/>
      <c r="E430" s="148" t="s">
        <v>457</v>
      </c>
      <c r="F430" s="101" t="s">
        <v>4257</v>
      </c>
      <c r="G430" s="10"/>
      <c r="H430" s="101" t="s">
        <v>273</v>
      </c>
      <c r="I430" s="148" t="s">
        <v>4259</v>
      </c>
      <c r="J430" s="10"/>
      <c r="K430" s="10"/>
      <c r="L430" s="19"/>
      <c r="M430" s="13"/>
      <c r="N430" s="249"/>
      <c r="O430" s="356" t="s">
        <v>1048</v>
      </c>
      <c r="P430" s="356" t="s">
        <v>153</v>
      </c>
      <c r="Q430" s="356">
        <v>300</v>
      </c>
      <c r="R430" s="350">
        <v>500000</v>
      </c>
      <c r="S430" s="356">
        <v>300000</v>
      </c>
      <c r="T430" s="356">
        <v>800000</v>
      </c>
      <c r="U430" s="19"/>
      <c r="V430" s="19"/>
      <c r="W430" s="19"/>
      <c r="X430" s="19"/>
      <c r="Y430" s="165">
        <v>0.3</v>
      </c>
      <c r="Z430" s="376">
        <f t="shared" si="67"/>
        <v>240000</v>
      </c>
      <c r="AA430" s="19"/>
      <c r="AB430" s="376">
        <f t="shared" si="46"/>
        <v>480000</v>
      </c>
      <c r="AC430" s="38">
        <f t="shared" si="41"/>
        <v>240000</v>
      </c>
      <c r="AD430" s="19" t="s">
        <v>4307</v>
      </c>
    </row>
    <row r="431" spans="1:30" s="272" customFormat="1" ht="70.5" customHeight="1" x14ac:dyDescent="0.25">
      <c r="A431" s="311">
        <v>428</v>
      </c>
      <c r="B431" s="373">
        <v>43993</v>
      </c>
      <c r="C431" s="358" t="s">
        <v>4260</v>
      </c>
      <c r="D431" s="358" t="s">
        <v>309</v>
      </c>
      <c r="E431" s="358" t="s">
        <v>2327</v>
      </c>
      <c r="F431" s="335" t="s">
        <v>4261</v>
      </c>
      <c r="G431" s="269"/>
      <c r="H431" s="335" t="s">
        <v>168</v>
      </c>
      <c r="I431" s="358" t="s">
        <v>4262</v>
      </c>
      <c r="J431" s="498" t="s">
        <v>4272</v>
      </c>
      <c r="K431" s="208" t="s">
        <v>4273</v>
      </c>
      <c r="L431" s="266"/>
      <c r="M431" s="278"/>
      <c r="N431" s="439"/>
      <c r="O431" s="507" t="s">
        <v>1048</v>
      </c>
      <c r="P431" s="507" t="s">
        <v>153</v>
      </c>
      <c r="Q431" s="507">
        <v>300</v>
      </c>
      <c r="R431" s="549">
        <v>500000</v>
      </c>
      <c r="S431" s="507">
        <v>300000</v>
      </c>
      <c r="T431" s="507">
        <v>800000</v>
      </c>
      <c r="U431" s="266"/>
      <c r="V431" s="266"/>
      <c r="W431" s="266"/>
      <c r="X431" s="266"/>
      <c r="Y431" s="271">
        <v>0.4</v>
      </c>
      <c r="Z431" s="605">
        <f t="shared" si="67"/>
        <v>320000</v>
      </c>
      <c r="AA431" s="266"/>
      <c r="AB431" s="605">
        <f t="shared" si="46"/>
        <v>480000</v>
      </c>
      <c r="AC431" s="607">
        <f t="shared" si="41"/>
        <v>160000</v>
      </c>
      <c r="AD431" s="266"/>
    </row>
    <row r="432" spans="1:30" s="272" customFormat="1" ht="47.25" x14ac:dyDescent="0.25">
      <c r="A432" s="113">
        <v>429</v>
      </c>
      <c r="B432" s="373">
        <v>43993</v>
      </c>
      <c r="C432" s="358" t="s">
        <v>4264</v>
      </c>
      <c r="D432" s="358" t="s">
        <v>309</v>
      </c>
      <c r="E432" s="358" t="s">
        <v>2327</v>
      </c>
      <c r="F432" s="335" t="s">
        <v>4263</v>
      </c>
      <c r="G432" s="269"/>
      <c r="H432" s="335" t="s">
        <v>273</v>
      </c>
      <c r="I432" s="358" t="s">
        <v>4265</v>
      </c>
      <c r="J432" s="269"/>
      <c r="K432" s="269"/>
      <c r="L432" s="266"/>
      <c r="M432" s="278"/>
      <c r="N432" s="439"/>
      <c r="O432" s="507" t="s">
        <v>1048</v>
      </c>
      <c r="P432" s="507" t="s">
        <v>153</v>
      </c>
      <c r="Q432" s="507">
        <v>300</v>
      </c>
      <c r="R432" s="549">
        <v>500000</v>
      </c>
      <c r="S432" s="507">
        <v>300000</v>
      </c>
      <c r="T432" s="507">
        <v>800000</v>
      </c>
      <c r="U432" s="266"/>
      <c r="V432" s="266"/>
      <c r="W432" s="266"/>
      <c r="X432" s="266"/>
      <c r="Y432" s="271">
        <v>0.3</v>
      </c>
      <c r="Z432" s="605">
        <f t="shared" si="67"/>
        <v>240000</v>
      </c>
      <c r="AA432" s="266"/>
      <c r="AB432" s="605">
        <f t="shared" si="46"/>
        <v>480000</v>
      </c>
      <c r="AC432" s="607">
        <f t="shared" si="41"/>
        <v>240000</v>
      </c>
      <c r="AD432" s="266"/>
    </row>
    <row r="433" spans="1:30" ht="47.25" x14ac:dyDescent="0.25">
      <c r="A433" s="74">
        <v>430</v>
      </c>
      <c r="B433" s="22">
        <v>43993</v>
      </c>
      <c r="C433" s="148" t="s">
        <v>4267</v>
      </c>
      <c r="D433" s="148" t="s">
        <v>4268</v>
      </c>
      <c r="E433" s="148"/>
      <c r="F433" s="101" t="s">
        <v>4266</v>
      </c>
      <c r="G433" s="10"/>
      <c r="H433" s="101" t="s">
        <v>345</v>
      </c>
      <c r="I433" s="148" t="s">
        <v>4269</v>
      </c>
      <c r="J433" s="10">
        <v>976697083</v>
      </c>
      <c r="K433" s="10"/>
      <c r="L433" s="19"/>
      <c r="M433" s="13"/>
      <c r="N433" s="249"/>
      <c r="O433" s="356" t="s">
        <v>1048</v>
      </c>
      <c r="P433" s="356" t="s">
        <v>153</v>
      </c>
      <c r="Q433" s="356">
        <v>300</v>
      </c>
      <c r="R433" s="350">
        <v>500000</v>
      </c>
      <c r="S433" s="356">
        <v>300000</v>
      </c>
      <c r="T433" s="356">
        <v>800000</v>
      </c>
      <c r="U433" s="19"/>
      <c r="V433" s="19"/>
      <c r="W433" s="19"/>
      <c r="X433" s="19"/>
      <c r="Y433" s="165">
        <v>0.4</v>
      </c>
      <c r="Z433" s="376">
        <f t="shared" si="67"/>
        <v>320000</v>
      </c>
      <c r="AA433" s="19"/>
      <c r="AB433" s="376">
        <f t="shared" si="46"/>
        <v>480000</v>
      </c>
      <c r="AC433" s="38">
        <f t="shared" si="41"/>
        <v>160000</v>
      </c>
      <c r="AD433" s="19" t="s">
        <v>5046</v>
      </c>
    </row>
    <row r="434" spans="1:30" s="272" customFormat="1" ht="63" x14ac:dyDescent="0.25">
      <c r="A434" s="311">
        <v>431</v>
      </c>
      <c r="B434" s="373">
        <v>43993</v>
      </c>
      <c r="C434" s="358" t="s">
        <v>4270</v>
      </c>
      <c r="D434" s="358"/>
      <c r="E434" s="358" t="s">
        <v>309</v>
      </c>
      <c r="F434" s="335" t="s">
        <v>5296</v>
      </c>
      <c r="G434" s="269"/>
      <c r="H434" s="335" t="s">
        <v>273</v>
      </c>
      <c r="I434" s="358" t="s">
        <v>4271</v>
      </c>
      <c r="J434" s="269" t="s">
        <v>4274</v>
      </c>
      <c r="K434" s="269"/>
      <c r="L434" s="266"/>
      <c r="M434" s="278"/>
      <c r="N434" s="439"/>
      <c r="O434" s="507" t="s">
        <v>1048</v>
      </c>
      <c r="P434" s="507" t="s">
        <v>153</v>
      </c>
      <c r="Q434" s="507">
        <v>300</v>
      </c>
      <c r="R434" s="549">
        <v>500000</v>
      </c>
      <c r="S434" s="507">
        <v>300000</v>
      </c>
      <c r="T434" s="507">
        <v>800000</v>
      </c>
      <c r="U434" s="266"/>
      <c r="V434" s="266"/>
      <c r="W434" s="266"/>
      <c r="X434" s="266"/>
      <c r="Y434" s="271">
        <v>0.3</v>
      </c>
      <c r="Z434" s="605">
        <f t="shared" si="67"/>
        <v>240000</v>
      </c>
      <c r="AA434" s="266"/>
      <c r="AB434" s="605">
        <f t="shared" si="46"/>
        <v>480000</v>
      </c>
      <c r="AC434" s="607">
        <f t="shared" si="41"/>
        <v>240000</v>
      </c>
      <c r="AD434" s="266"/>
    </row>
    <row r="435" spans="1:30" s="272" customFormat="1" ht="63" x14ac:dyDescent="0.25">
      <c r="A435" s="113">
        <v>432</v>
      </c>
      <c r="B435" s="373">
        <v>43995</v>
      </c>
      <c r="C435" s="358" t="s">
        <v>4302</v>
      </c>
      <c r="D435" s="358" t="s">
        <v>2483</v>
      </c>
      <c r="E435" s="358"/>
      <c r="F435" s="335" t="s">
        <v>4301</v>
      </c>
      <c r="G435" s="269"/>
      <c r="H435" s="335" t="s">
        <v>273</v>
      </c>
      <c r="I435" s="358" t="s">
        <v>4303</v>
      </c>
      <c r="J435" s="269"/>
      <c r="K435" s="269"/>
      <c r="L435" s="266"/>
      <c r="M435" s="278"/>
      <c r="N435" s="439"/>
      <c r="O435" s="507" t="s">
        <v>1048</v>
      </c>
      <c r="P435" s="507" t="s">
        <v>153</v>
      </c>
      <c r="Q435" s="507">
        <v>300</v>
      </c>
      <c r="R435" s="549">
        <v>500000</v>
      </c>
      <c r="S435" s="507">
        <v>300000</v>
      </c>
      <c r="T435" s="507">
        <v>800000</v>
      </c>
      <c r="U435" s="266"/>
      <c r="V435" s="266"/>
      <c r="W435" s="266"/>
      <c r="X435" s="266"/>
      <c r="Y435" s="271">
        <v>0.3</v>
      </c>
      <c r="Z435" s="605">
        <f t="shared" si="67"/>
        <v>240000</v>
      </c>
      <c r="AA435" s="266"/>
      <c r="AB435" s="605">
        <f t="shared" si="46"/>
        <v>480000</v>
      </c>
      <c r="AC435" s="607">
        <f t="shared" si="41"/>
        <v>240000</v>
      </c>
      <c r="AD435" s="266"/>
    </row>
    <row r="436" spans="1:30" s="272" customFormat="1" ht="47.25" x14ac:dyDescent="0.25">
      <c r="A436" s="74">
        <v>433</v>
      </c>
      <c r="B436" s="373">
        <v>43995</v>
      </c>
      <c r="C436" s="358" t="s">
        <v>4305</v>
      </c>
      <c r="D436" s="358" t="s">
        <v>2835</v>
      </c>
      <c r="E436" s="358"/>
      <c r="F436" s="335" t="s">
        <v>4304</v>
      </c>
      <c r="G436" s="269"/>
      <c r="H436" s="335" t="s">
        <v>273</v>
      </c>
      <c r="I436" s="358" t="s">
        <v>4306</v>
      </c>
      <c r="J436" s="269"/>
      <c r="K436" s="269"/>
      <c r="L436" s="266"/>
      <c r="M436" s="278"/>
      <c r="N436" s="439"/>
      <c r="O436" s="507" t="s">
        <v>1048</v>
      </c>
      <c r="P436" s="507" t="s">
        <v>153</v>
      </c>
      <c r="Q436" s="507">
        <v>300</v>
      </c>
      <c r="R436" s="549">
        <v>500000</v>
      </c>
      <c r="S436" s="507">
        <v>300000</v>
      </c>
      <c r="T436" s="507">
        <v>800000</v>
      </c>
      <c r="U436" s="266"/>
      <c r="V436" s="266"/>
      <c r="W436" s="266"/>
      <c r="X436" s="266"/>
      <c r="Y436" s="271">
        <v>0.3</v>
      </c>
      <c r="Z436" s="605">
        <f t="shared" si="67"/>
        <v>240000</v>
      </c>
      <c r="AA436" s="266"/>
      <c r="AB436" s="605">
        <f t="shared" si="46"/>
        <v>480000</v>
      </c>
      <c r="AC436" s="607">
        <f t="shared" si="41"/>
        <v>240000</v>
      </c>
      <c r="AD436" s="266"/>
    </row>
    <row r="437" spans="1:30" s="272" customFormat="1" ht="47.25" x14ac:dyDescent="0.25">
      <c r="A437" s="311">
        <v>434</v>
      </c>
      <c r="B437" s="373">
        <v>43997</v>
      </c>
      <c r="C437" s="358" t="s">
        <v>4310</v>
      </c>
      <c r="D437" s="358" t="s">
        <v>4311</v>
      </c>
      <c r="E437" s="358"/>
      <c r="F437" s="335" t="s">
        <v>4309</v>
      </c>
      <c r="G437" s="269"/>
      <c r="H437" s="335" t="s">
        <v>273</v>
      </c>
      <c r="I437" s="358" t="s">
        <v>4312</v>
      </c>
      <c r="J437" s="269"/>
      <c r="K437" s="269"/>
      <c r="L437" s="266"/>
      <c r="M437" s="278"/>
      <c r="N437" s="439"/>
      <c r="O437" s="266" t="s">
        <v>299</v>
      </c>
      <c r="P437" s="266" t="s">
        <v>153</v>
      </c>
      <c r="Q437" s="266">
        <v>500</v>
      </c>
      <c r="R437" s="278">
        <v>500000</v>
      </c>
      <c r="S437" s="266">
        <v>425000</v>
      </c>
      <c r="T437" s="266">
        <f t="shared" ref="T437" si="72">R437+S437</f>
        <v>925000</v>
      </c>
      <c r="U437" s="266"/>
      <c r="V437" s="266"/>
      <c r="W437" s="266"/>
      <c r="X437" s="266"/>
      <c r="Y437" s="271">
        <v>0.3</v>
      </c>
      <c r="Z437" s="605">
        <f t="shared" si="67"/>
        <v>277500</v>
      </c>
      <c r="AA437" s="266"/>
      <c r="AB437" s="605">
        <f t="shared" si="46"/>
        <v>555000</v>
      </c>
      <c r="AC437" s="607">
        <f t="shared" si="41"/>
        <v>277500</v>
      </c>
      <c r="AD437" s="266"/>
    </row>
    <row r="438" spans="1:30" ht="47.25" x14ac:dyDescent="0.25">
      <c r="A438" s="113">
        <v>435</v>
      </c>
      <c r="B438" s="22">
        <v>43997</v>
      </c>
      <c r="C438" s="148" t="s">
        <v>4313</v>
      </c>
      <c r="D438" s="148" t="s">
        <v>4316</v>
      </c>
      <c r="E438" s="148"/>
      <c r="F438" s="101" t="s">
        <v>4315</v>
      </c>
      <c r="G438" s="10"/>
      <c r="H438" s="101" t="s">
        <v>2199</v>
      </c>
      <c r="I438" s="148" t="s">
        <v>4314</v>
      </c>
      <c r="J438" s="10" t="s">
        <v>4317</v>
      </c>
      <c r="K438" s="10"/>
      <c r="L438" s="19"/>
      <c r="M438" s="13"/>
      <c r="N438" s="249"/>
      <c r="O438" s="356" t="s">
        <v>1048</v>
      </c>
      <c r="P438" s="356" t="s">
        <v>153</v>
      </c>
      <c r="Q438" s="356">
        <v>300</v>
      </c>
      <c r="R438" s="350">
        <v>500000</v>
      </c>
      <c r="S438" s="356">
        <v>300000</v>
      </c>
      <c r="T438" s="356">
        <v>800000</v>
      </c>
      <c r="U438" s="19"/>
      <c r="V438" s="19"/>
      <c r="W438" s="19"/>
      <c r="X438" s="19"/>
      <c r="Y438" s="165">
        <v>0.3</v>
      </c>
      <c r="Z438" s="376">
        <f t="shared" si="67"/>
        <v>240000</v>
      </c>
      <c r="AA438" s="19"/>
      <c r="AB438" s="376">
        <f t="shared" si="46"/>
        <v>480000</v>
      </c>
      <c r="AC438" s="38">
        <f t="shared" ref="AC438:AC501" si="73">AB438-Z438</f>
        <v>240000</v>
      </c>
      <c r="AD438" s="19" t="s">
        <v>5047</v>
      </c>
    </row>
    <row r="439" spans="1:30" s="272" customFormat="1" ht="63" x14ac:dyDescent="0.25">
      <c r="A439" s="74">
        <v>436</v>
      </c>
      <c r="B439" s="373">
        <v>43997</v>
      </c>
      <c r="C439" s="358" t="s">
        <v>4318</v>
      </c>
      <c r="D439" s="358" t="s">
        <v>309</v>
      </c>
      <c r="E439" s="358"/>
      <c r="F439" s="335" t="s">
        <v>4319</v>
      </c>
      <c r="G439" s="269"/>
      <c r="H439" s="335" t="s">
        <v>273</v>
      </c>
      <c r="I439" s="358" t="s">
        <v>4320</v>
      </c>
      <c r="J439" s="269"/>
      <c r="K439" s="269"/>
      <c r="L439" s="266"/>
      <c r="M439" s="278"/>
      <c r="N439" s="439"/>
      <c r="O439" s="507" t="s">
        <v>1048</v>
      </c>
      <c r="P439" s="507" t="s">
        <v>153</v>
      </c>
      <c r="Q439" s="507">
        <v>300</v>
      </c>
      <c r="R439" s="549">
        <v>500000</v>
      </c>
      <c r="S439" s="507">
        <v>300000</v>
      </c>
      <c r="T439" s="507">
        <v>800000</v>
      </c>
      <c r="U439" s="266"/>
      <c r="V439" s="266"/>
      <c r="W439" s="266"/>
      <c r="X439" s="266"/>
      <c r="Y439" s="271">
        <v>0.3</v>
      </c>
      <c r="Z439" s="605">
        <f t="shared" si="67"/>
        <v>240000</v>
      </c>
      <c r="AA439" s="266"/>
      <c r="AB439" s="605">
        <f t="shared" si="46"/>
        <v>480000</v>
      </c>
      <c r="AC439" s="607">
        <f t="shared" si="73"/>
        <v>240000</v>
      </c>
      <c r="AD439" s="266"/>
    </row>
    <row r="440" spans="1:30" ht="47.25" x14ac:dyDescent="0.25">
      <c r="A440" s="311">
        <v>437</v>
      </c>
      <c r="B440" s="22">
        <v>43997</v>
      </c>
      <c r="C440" s="148" t="s">
        <v>4321</v>
      </c>
      <c r="D440" s="148" t="s">
        <v>4322</v>
      </c>
      <c r="E440" s="148"/>
      <c r="F440" s="101" t="s">
        <v>4323</v>
      </c>
      <c r="G440" s="10"/>
      <c r="H440" s="101" t="s">
        <v>273</v>
      </c>
      <c r="I440" s="148" t="s">
        <v>4324</v>
      </c>
      <c r="J440" s="10" t="s">
        <v>4325</v>
      </c>
      <c r="K440" s="10"/>
      <c r="L440" s="19"/>
      <c r="M440" s="13"/>
      <c r="N440" s="249"/>
      <c r="O440" s="356" t="s">
        <v>1048</v>
      </c>
      <c r="P440" s="356" t="s">
        <v>153</v>
      </c>
      <c r="Q440" s="356">
        <v>300</v>
      </c>
      <c r="R440" s="350">
        <v>500000</v>
      </c>
      <c r="S440" s="356">
        <v>300000</v>
      </c>
      <c r="T440" s="356">
        <v>800000</v>
      </c>
      <c r="U440" s="19"/>
      <c r="V440" s="19"/>
      <c r="W440" s="19"/>
      <c r="X440" s="19"/>
      <c r="Y440" s="165">
        <v>0.3</v>
      </c>
      <c r="Z440" s="376">
        <f t="shared" si="67"/>
        <v>240000</v>
      </c>
      <c r="AA440" s="19"/>
      <c r="AB440" s="376">
        <f t="shared" si="46"/>
        <v>480000</v>
      </c>
      <c r="AC440" s="38">
        <f t="shared" si="73"/>
        <v>240000</v>
      </c>
      <c r="AD440" s="19" t="s">
        <v>5048</v>
      </c>
    </row>
    <row r="441" spans="1:30" s="272" customFormat="1" ht="47.25" x14ac:dyDescent="0.25">
      <c r="A441" s="113">
        <v>438</v>
      </c>
      <c r="B441" s="373">
        <v>43998</v>
      </c>
      <c r="C441" s="358" t="s">
        <v>4330</v>
      </c>
      <c r="D441" s="358" t="s">
        <v>984</v>
      </c>
      <c r="E441" s="358"/>
      <c r="F441" s="335" t="s">
        <v>4332</v>
      </c>
      <c r="G441" s="269"/>
      <c r="H441" s="335" t="s">
        <v>273</v>
      </c>
      <c r="I441" s="358" t="s">
        <v>4331</v>
      </c>
      <c r="J441" s="269"/>
      <c r="K441" s="380" t="s">
        <v>4333</v>
      </c>
      <c r="L441" s="266"/>
      <c r="M441" s="278"/>
      <c r="N441" s="439"/>
      <c r="O441" s="266" t="s">
        <v>299</v>
      </c>
      <c r="P441" s="266" t="s">
        <v>153</v>
      </c>
      <c r="Q441" s="266">
        <v>500</v>
      </c>
      <c r="R441" s="278">
        <v>500000</v>
      </c>
      <c r="S441" s="266">
        <v>425000</v>
      </c>
      <c r="T441" s="266">
        <f t="shared" ref="T441" si="74">R441+S441</f>
        <v>925000</v>
      </c>
      <c r="U441" s="266"/>
      <c r="V441" s="266"/>
      <c r="W441" s="266"/>
      <c r="X441" s="266"/>
      <c r="Y441" s="271">
        <v>0.3</v>
      </c>
      <c r="Z441" s="605">
        <f t="shared" si="67"/>
        <v>277500</v>
      </c>
      <c r="AA441" s="266"/>
      <c r="AB441" s="605">
        <f t="shared" si="46"/>
        <v>555000</v>
      </c>
      <c r="AC441" s="607">
        <f t="shared" si="73"/>
        <v>277500</v>
      </c>
      <c r="AD441" s="266"/>
    </row>
    <row r="442" spans="1:30" s="272" customFormat="1" ht="47.25" x14ac:dyDescent="0.25">
      <c r="A442" s="74">
        <v>439</v>
      </c>
      <c r="B442" s="373">
        <v>43998</v>
      </c>
      <c r="C442" s="358" t="s">
        <v>4334</v>
      </c>
      <c r="D442" s="358"/>
      <c r="E442" s="358" t="s">
        <v>309</v>
      </c>
      <c r="F442" s="335" t="s">
        <v>4335</v>
      </c>
      <c r="G442" s="269"/>
      <c r="H442" s="335" t="s">
        <v>273</v>
      </c>
      <c r="I442" s="358" t="s">
        <v>4336</v>
      </c>
      <c r="J442" s="269"/>
      <c r="K442" s="269"/>
      <c r="L442" s="266"/>
      <c r="M442" s="278"/>
      <c r="N442" s="439"/>
      <c r="O442" s="507" t="s">
        <v>1048</v>
      </c>
      <c r="P442" s="507" t="s">
        <v>153</v>
      </c>
      <c r="Q442" s="507">
        <v>300</v>
      </c>
      <c r="R442" s="549">
        <v>500000</v>
      </c>
      <c r="S442" s="507">
        <v>300000</v>
      </c>
      <c r="T442" s="507">
        <v>800000</v>
      </c>
      <c r="U442" s="266"/>
      <c r="V442" s="266"/>
      <c r="W442" s="266"/>
      <c r="X442" s="266"/>
      <c r="Y442" s="271">
        <v>0.3</v>
      </c>
      <c r="Z442" s="605">
        <f t="shared" si="67"/>
        <v>240000</v>
      </c>
      <c r="AA442" s="266"/>
      <c r="AB442" s="605">
        <f t="shared" ref="AB442:AB505" si="75">T442*0.6</f>
        <v>480000</v>
      </c>
      <c r="AC442" s="607">
        <f t="shared" si="73"/>
        <v>240000</v>
      </c>
      <c r="AD442" s="266"/>
    </row>
    <row r="443" spans="1:30" s="272" customFormat="1" ht="47.25" x14ac:dyDescent="0.25">
      <c r="A443" s="311">
        <v>440</v>
      </c>
      <c r="B443" s="373">
        <v>43998</v>
      </c>
      <c r="C443" s="358" t="s">
        <v>4337</v>
      </c>
      <c r="D443" s="358"/>
      <c r="E443" s="358" t="s">
        <v>309</v>
      </c>
      <c r="F443" s="335" t="s">
        <v>4338</v>
      </c>
      <c r="G443" s="269"/>
      <c r="H443" s="335" t="s">
        <v>273</v>
      </c>
      <c r="I443" s="358" t="s">
        <v>4339</v>
      </c>
      <c r="J443" s="269"/>
      <c r="K443" s="269"/>
      <c r="L443" s="266"/>
      <c r="M443" s="278"/>
      <c r="N443" s="439"/>
      <c r="O443" s="507" t="s">
        <v>1048</v>
      </c>
      <c r="P443" s="507" t="s">
        <v>153</v>
      </c>
      <c r="Q443" s="507">
        <v>300</v>
      </c>
      <c r="R443" s="549">
        <v>500000</v>
      </c>
      <c r="S443" s="507">
        <v>300000</v>
      </c>
      <c r="T443" s="507">
        <v>800000</v>
      </c>
      <c r="U443" s="266"/>
      <c r="V443" s="266"/>
      <c r="W443" s="266"/>
      <c r="X443" s="266"/>
      <c r="Y443" s="271">
        <v>0.3</v>
      </c>
      <c r="Z443" s="605">
        <f t="shared" si="67"/>
        <v>240000</v>
      </c>
      <c r="AA443" s="266"/>
      <c r="AB443" s="605">
        <f t="shared" si="75"/>
        <v>480000</v>
      </c>
      <c r="AC443" s="607">
        <f t="shared" si="73"/>
        <v>240000</v>
      </c>
      <c r="AD443" s="266"/>
    </row>
    <row r="444" spans="1:30" ht="47.25" x14ac:dyDescent="0.25">
      <c r="A444" s="113">
        <v>441</v>
      </c>
      <c r="B444" s="22">
        <v>43998</v>
      </c>
      <c r="C444" s="148" t="s">
        <v>4340</v>
      </c>
      <c r="D444" s="148" t="s">
        <v>502</v>
      </c>
      <c r="E444" s="148" t="s">
        <v>3646</v>
      </c>
      <c r="F444" s="101" t="s">
        <v>4341</v>
      </c>
      <c r="G444" s="10"/>
      <c r="H444" s="101" t="s">
        <v>273</v>
      </c>
      <c r="I444" s="148" t="s">
        <v>4342</v>
      </c>
      <c r="J444" s="10" t="s">
        <v>4343</v>
      </c>
      <c r="K444" s="10"/>
      <c r="L444" s="19"/>
      <c r="M444" s="13"/>
      <c r="N444" s="249"/>
      <c r="O444" s="356" t="s">
        <v>1048</v>
      </c>
      <c r="P444" s="356" t="s">
        <v>153</v>
      </c>
      <c r="Q444" s="356">
        <v>300</v>
      </c>
      <c r="R444" s="350">
        <v>500000</v>
      </c>
      <c r="S444" s="356">
        <v>300000</v>
      </c>
      <c r="T444" s="356">
        <v>800000</v>
      </c>
      <c r="U444" s="19"/>
      <c r="V444" s="19"/>
      <c r="W444" s="19"/>
      <c r="X444" s="19"/>
      <c r="Y444" s="165">
        <v>0.3</v>
      </c>
      <c r="Z444" s="376">
        <f t="shared" si="67"/>
        <v>240000</v>
      </c>
      <c r="AA444" s="19"/>
      <c r="AB444" s="376">
        <f t="shared" si="75"/>
        <v>480000</v>
      </c>
      <c r="AC444" s="38">
        <f t="shared" si="73"/>
        <v>240000</v>
      </c>
      <c r="AD444" s="19"/>
    </row>
    <row r="445" spans="1:30" s="272" customFormat="1" ht="47.25" x14ac:dyDescent="0.25">
      <c r="A445" s="74">
        <v>442</v>
      </c>
      <c r="B445" s="373">
        <v>43998</v>
      </c>
      <c r="C445" s="358" t="s">
        <v>4344</v>
      </c>
      <c r="D445" s="358" t="s">
        <v>3469</v>
      </c>
      <c r="E445" s="358"/>
      <c r="F445" s="335" t="s">
        <v>4345</v>
      </c>
      <c r="G445" s="269"/>
      <c r="H445" s="335" t="s">
        <v>273</v>
      </c>
      <c r="I445" s="358" t="s">
        <v>4346</v>
      </c>
      <c r="J445" s="269" t="s">
        <v>3469</v>
      </c>
      <c r="K445" s="269"/>
      <c r="L445" s="266"/>
      <c r="M445" s="278"/>
      <c r="N445" s="439"/>
      <c r="O445" s="507" t="s">
        <v>1484</v>
      </c>
      <c r="P445" s="507" t="s">
        <v>153</v>
      </c>
      <c r="Q445" s="507">
        <v>1000</v>
      </c>
      <c r="R445" s="549">
        <v>500000</v>
      </c>
      <c r="S445" s="507">
        <v>675000</v>
      </c>
      <c r="T445" s="507">
        <f t="shared" ref="T445" si="76">R445+S445</f>
        <v>1175000</v>
      </c>
      <c r="U445" s="266"/>
      <c r="V445" s="266"/>
      <c r="W445" s="266"/>
      <c r="X445" s="266"/>
      <c r="Y445" s="271">
        <v>0.4</v>
      </c>
      <c r="Z445" s="605">
        <f t="shared" si="67"/>
        <v>470000</v>
      </c>
      <c r="AA445" s="266"/>
      <c r="AB445" s="605">
        <f t="shared" si="75"/>
        <v>705000</v>
      </c>
      <c r="AC445" s="607">
        <f t="shared" si="73"/>
        <v>235000</v>
      </c>
      <c r="AD445" s="266"/>
    </row>
    <row r="446" spans="1:30" s="272" customFormat="1" ht="47.25" x14ac:dyDescent="0.25">
      <c r="A446" s="311">
        <v>443</v>
      </c>
      <c r="B446" s="373">
        <v>43998</v>
      </c>
      <c r="C446" s="358" t="s">
        <v>4348</v>
      </c>
      <c r="D446" s="358"/>
      <c r="E446" s="358" t="s">
        <v>309</v>
      </c>
      <c r="F446" s="335" t="s">
        <v>4347</v>
      </c>
      <c r="G446" s="269"/>
      <c r="H446" s="335" t="s">
        <v>273</v>
      </c>
      <c r="I446" s="358" t="s">
        <v>4349</v>
      </c>
      <c r="J446" s="269"/>
      <c r="K446" s="269"/>
      <c r="L446" s="266"/>
      <c r="M446" s="278"/>
      <c r="N446" s="439"/>
      <c r="O446" s="507" t="s">
        <v>1048</v>
      </c>
      <c r="P446" s="507" t="s">
        <v>153</v>
      </c>
      <c r="Q446" s="507">
        <v>300</v>
      </c>
      <c r="R446" s="549">
        <v>500000</v>
      </c>
      <c r="S446" s="507">
        <v>300000</v>
      </c>
      <c r="T446" s="507">
        <v>800000</v>
      </c>
      <c r="U446" s="266"/>
      <c r="V446" s="266"/>
      <c r="W446" s="266"/>
      <c r="X446" s="266"/>
      <c r="Y446" s="271">
        <v>0.3</v>
      </c>
      <c r="Z446" s="605">
        <f t="shared" si="67"/>
        <v>240000</v>
      </c>
      <c r="AA446" s="266"/>
      <c r="AB446" s="605">
        <f t="shared" si="75"/>
        <v>480000</v>
      </c>
      <c r="AC446" s="607">
        <f t="shared" si="73"/>
        <v>240000</v>
      </c>
      <c r="AD446" s="266"/>
    </row>
    <row r="447" spans="1:30" s="272" customFormat="1" ht="47.25" x14ac:dyDescent="0.25">
      <c r="A447" s="113">
        <v>444</v>
      </c>
      <c r="B447" s="373">
        <v>43998</v>
      </c>
      <c r="C447" s="358" t="s">
        <v>4351</v>
      </c>
      <c r="D447" s="358"/>
      <c r="E447" s="358" t="s">
        <v>309</v>
      </c>
      <c r="F447" s="335" t="s">
        <v>4350</v>
      </c>
      <c r="G447" s="269"/>
      <c r="H447" s="335" t="s">
        <v>273</v>
      </c>
      <c r="I447" s="358" t="s">
        <v>4352</v>
      </c>
      <c r="J447" s="269"/>
      <c r="K447" s="269"/>
      <c r="L447" s="266"/>
      <c r="M447" s="278"/>
      <c r="N447" s="439"/>
      <c r="O447" s="507" t="s">
        <v>1048</v>
      </c>
      <c r="P447" s="507" t="s">
        <v>153</v>
      </c>
      <c r="Q447" s="507">
        <v>300</v>
      </c>
      <c r="R447" s="549">
        <v>500000</v>
      </c>
      <c r="S447" s="507">
        <v>300000</v>
      </c>
      <c r="T447" s="507">
        <v>800000</v>
      </c>
      <c r="U447" s="266"/>
      <c r="V447" s="266"/>
      <c r="W447" s="266"/>
      <c r="X447" s="266"/>
      <c r="Y447" s="271">
        <v>0.3</v>
      </c>
      <c r="Z447" s="605">
        <f t="shared" si="67"/>
        <v>240000</v>
      </c>
      <c r="AA447" s="266"/>
      <c r="AB447" s="605">
        <f t="shared" si="75"/>
        <v>480000</v>
      </c>
      <c r="AC447" s="607">
        <f t="shared" si="73"/>
        <v>240000</v>
      </c>
      <c r="AD447" s="266"/>
    </row>
    <row r="448" spans="1:30" s="272" customFormat="1" ht="47.25" x14ac:dyDescent="0.25">
      <c r="A448" s="74">
        <v>445</v>
      </c>
      <c r="B448" s="373">
        <v>43998</v>
      </c>
      <c r="C448" s="358" t="s">
        <v>4353</v>
      </c>
      <c r="D448" s="358"/>
      <c r="E448" s="358" t="s">
        <v>309</v>
      </c>
      <c r="F448" s="335" t="s">
        <v>4354</v>
      </c>
      <c r="G448" s="269"/>
      <c r="H448" s="335" t="s">
        <v>273</v>
      </c>
      <c r="I448" s="358" t="s">
        <v>4355</v>
      </c>
      <c r="J448" s="269"/>
      <c r="K448" s="269"/>
      <c r="L448" s="266"/>
      <c r="M448" s="278"/>
      <c r="N448" s="439"/>
      <c r="O448" s="507" t="s">
        <v>1048</v>
      </c>
      <c r="P448" s="507" t="s">
        <v>153</v>
      </c>
      <c r="Q448" s="507">
        <v>300</v>
      </c>
      <c r="R448" s="549">
        <v>500000</v>
      </c>
      <c r="S448" s="507">
        <v>300000</v>
      </c>
      <c r="T448" s="507">
        <v>800000</v>
      </c>
      <c r="U448" s="266"/>
      <c r="V448" s="266"/>
      <c r="W448" s="266"/>
      <c r="X448" s="266"/>
      <c r="Y448" s="271">
        <v>0.3</v>
      </c>
      <c r="Z448" s="605">
        <f t="shared" si="67"/>
        <v>240000</v>
      </c>
      <c r="AA448" s="266"/>
      <c r="AB448" s="605">
        <f t="shared" si="75"/>
        <v>480000</v>
      </c>
      <c r="AC448" s="607">
        <f t="shared" si="73"/>
        <v>240000</v>
      </c>
      <c r="AD448" s="266"/>
    </row>
    <row r="449" spans="1:30" s="272" customFormat="1" ht="47.25" x14ac:dyDescent="0.25">
      <c r="A449" s="311">
        <v>446</v>
      </c>
      <c r="B449" s="373">
        <v>43998</v>
      </c>
      <c r="C449" s="358" t="s">
        <v>4356</v>
      </c>
      <c r="D449" s="358"/>
      <c r="E449" s="358" t="s">
        <v>309</v>
      </c>
      <c r="F449" s="335" t="s">
        <v>4357</v>
      </c>
      <c r="G449" s="269"/>
      <c r="H449" s="335" t="s">
        <v>273</v>
      </c>
      <c r="I449" s="358" t="s">
        <v>4358</v>
      </c>
      <c r="J449" s="269"/>
      <c r="K449" s="269"/>
      <c r="L449" s="266"/>
      <c r="M449" s="278"/>
      <c r="N449" s="439"/>
      <c r="O449" s="266" t="s">
        <v>299</v>
      </c>
      <c r="P449" s="266" t="s">
        <v>153</v>
      </c>
      <c r="Q449" s="266">
        <v>500</v>
      </c>
      <c r="R449" s="278">
        <v>500000</v>
      </c>
      <c r="S449" s="266">
        <v>425000</v>
      </c>
      <c r="T449" s="266">
        <f t="shared" ref="T449" si="77">R449+S449</f>
        <v>925000</v>
      </c>
      <c r="U449" s="266"/>
      <c r="V449" s="266"/>
      <c r="W449" s="266"/>
      <c r="X449" s="266"/>
      <c r="Y449" s="271">
        <v>0.3</v>
      </c>
      <c r="Z449" s="605">
        <f t="shared" si="67"/>
        <v>277500</v>
      </c>
      <c r="AA449" s="266"/>
      <c r="AB449" s="605">
        <f t="shared" si="75"/>
        <v>555000</v>
      </c>
      <c r="AC449" s="607">
        <f t="shared" si="73"/>
        <v>277500</v>
      </c>
      <c r="AD449" s="266"/>
    </row>
    <row r="450" spans="1:30" s="272" customFormat="1" ht="47.25" x14ac:dyDescent="0.25">
      <c r="A450" s="113">
        <v>447</v>
      </c>
      <c r="B450" s="373">
        <v>43998</v>
      </c>
      <c r="C450" s="358" t="s">
        <v>4359</v>
      </c>
      <c r="D450" s="358"/>
      <c r="E450" s="358" t="s">
        <v>309</v>
      </c>
      <c r="F450" s="335" t="s">
        <v>4360</v>
      </c>
      <c r="G450" s="269"/>
      <c r="H450" s="335" t="s">
        <v>273</v>
      </c>
      <c r="I450" s="358" t="s">
        <v>4361</v>
      </c>
      <c r="J450" s="269"/>
      <c r="K450" s="269"/>
      <c r="L450" s="266"/>
      <c r="M450" s="278"/>
      <c r="N450" s="439"/>
      <c r="O450" s="507" t="s">
        <v>1048</v>
      </c>
      <c r="P450" s="507" t="s">
        <v>153</v>
      </c>
      <c r="Q450" s="507">
        <v>300</v>
      </c>
      <c r="R450" s="549">
        <v>500000</v>
      </c>
      <c r="S450" s="507">
        <v>300000</v>
      </c>
      <c r="T450" s="507">
        <v>800000</v>
      </c>
      <c r="U450" s="266"/>
      <c r="V450" s="266"/>
      <c r="W450" s="266"/>
      <c r="X450" s="266"/>
      <c r="Y450" s="271">
        <v>0.3</v>
      </c>
      <c r="Z450" s="605">
        <f t="shared" si="67"/>
        <v>240000</v>
      </c>
      <c r="AA450" s="266"/>
      <c r="AB450" s="605">
        <f t="shared" si="75"/>
        <v>480000</v>
      </c>
      <c r="AC450" s="607">
        <f t="shared" si="73"/>
        <v>240000</v>
      </c>
      <c r="AD450" s="266"/>
    </row>
    <row r="451" spans="1:30" s="272" customFormat="1" ht="47.25" x14ac:dyDescent="0.25">
      <c r="A451" s="74">
        <v>448</v>
      </c>
      <c r="B451" s="373">
        <v>43998</v>
      </c>
      <c r="C451" s="358" t="s">
        <v>4363</v>
      </c>
      <c r="D451" s="358"/>
      <c r="E451" s="358" t="s">
        <v>309</v>
      </c>
      <c r="F451" s="335" t="s">
        <v>4362</v>
      </c>
      <c r="G451" s="269"/>
      <c r="H451" s="335" t="s">
        <v>273</v>
      </c>
      <c r="I451" s="358" t="s">
        <v>4364</v>
      </c>
      <c r="J451" s="269"/>
      <c r="K451" s="269"/>
      <c r="L451" s="266"/>
      <c r="M451" s="278"/>
      <c r="N451" s="439"/>
      <c r="O451" s="507" t="s">
        <v>1048</v>
      </c>
      <c r="P451" s="507" t="s">
        <v>153</v>
      </c>
      <c r="Q451" s="507">
        <v>300</v>
      </c>
      <c r="R451" s="549">
        <v>500000</v>
      </c>
      <c r="S451" s="507">
        <v>300000</v>
      </c>
      <c r="T451" s="507">
        <v>800000</v>
      </c>
      <c r="U451" s="266"/>
      <c r="V451" s="266"/>
      <c r="W451" s="266"/>
      <c r="X451" s="266"/>
      <c r="Y451" s="271">
        <v>0.3</v>
      </c>
      <c r="Z451" s="605">
        <f t="shared" si="67"/>
        <v>240000</v>
      </c>
      <c r="AA451" s="266"/>
      <c r="AB451" s="605">
        <f t="shared" si="75"/>
        <v>480000</v>
      </c>
      <c r="AC451" s="607">
        <f t="shared" si="73"/>
        <v>240000</v>
      </c>
      <c r="AD451" s="266"/>
    </row>
    <row r="452" spans="1:30" ht="47.25" x14ac:dyDescent="0.25">
      <c r="A452" s="311">
        <v>449</v>
      </c>
      <c r="B452" s="22">
        <v>43998</v>
      </c>
      <c r="C452" s="148" t="s">
        <v>4365</v>
      </c>
      <c r="D452" s="148"/>
      <c r="E452" s="148" t="s">
        <v>3646</v>
      </c>
      <c r="F452" s="101" t="s">
        <v>4367</v>
      </c>
      <c r="G452" s="10"/>
      <c r="H452" s="101" t="s">
        <v>273</v>
      </c>
      <c r="I452" s="148" t="s">
        <v>4366</v>
      </c>
      <c r="J452" s="37" t="s">
        <v>4375</v>
      </c>
      <c r="K452" s="310" t="s">
        <v>4374</v>
      </c>
      <c r="L452" s="19"/>
      <c r="M452" s="13"/>
      <c r="N452" s="249"/>
      <c r="O452" s="356" t="s">
        <v>1048</v>
      </c>
      <c r="P452" s="356" t="s">
        <v>153</v>
      </c>
      <c r="Q452" s="356">
        <v>300</v>
      </c>
      <c r="R452" s="350">
        <v>500000</v>
      </c>
      <c r="S452" s="356">
        <v>300000</v>
      </c>
      <c r="T452" s="356">
        <v>800000</v>
      </c>
      <c r="U452" s="19"/>
      <c r="V452" s="19"/>
      <c r="W452" s="19"/>
      <c r="X452" s="19"/>
      <c r="Y452" s="165">
        <v>0.3</v>
      </c>
      <c r="Z452" s="376">
        <f t="shared" si="67"/>
        <v>240000</v>
      </c>
      <c r="AA452" s="19"/>
      <c r="AB452" s="376">
        <f t="shared" si="75"/>
        <v>480000</v>
      </c>
      <c r="AC452" s="38">
        <f t="shared" si="73"/>
        <v>240000</v>
      </c>
      <c r="AD452" s="19"/>
    </row>
    <row r="453" spans="1:30" s="272" customFormat="1" ht="63" x14ac:dyDescent="0.25">
      <c r="A453" s="113">
        <v>450</v>
      </c>
      <c r="B453" s="373">
        <v>43998</v>
      </c>
      <c r="C453" s="358" t="s">
        <v>4369</v>
      </c>
      <c r="D453" s="358"/>
      <c r="E453" s="358" t="s">
        <v>309</v>
      </c>
      <c r="F453" s="335" t="s">
        <v>4368</v>
      </c>
      <c r="G453" s="269"/>
      <c r="H453" s="335" t="s">
        <v>273</v>
      </c>
      <c r="I453" s="358" t="s">
        <v>4370</v>
      </c>
      <c r="J453" s="269"/>
      <c r="K453" s="269"/>
      <c r="L453" s="266"/>
      <c r="M453" s="278"/>
      <c r="N453" s="439"/>
      <c r="O453" s="507" t="s">
        <v>1048</v>
      </c>
      <c r="P453" s="507" t="s">
        <v>153</v>
      </c>
      <c r="Q453" s="507">
        <v>300</v>
      </c>
      <c r="R453" s="549">
        <v>500000</v>
      </c>
      <c r="S453" s="507">
        <v>300000</v>
      </c>
      <c r="T453" s="507">
        <v>800000</v>
      </c>
      <c r="U453" s="266"/>
      <c r="V453" s="266"/>
      <c r="W453" s="266"/>
      <c r="X453" s="266"/>
      <c r="Y453" s="271">
        <v>0.3</v>
      </c>
      <c r="Z453" s="605">
        <f t="shared" si="67"/>
        <v>240000</v>
      </c>
      <c r="AA453" s="266"/>
      <c r="AB453" s="605">
        <f t="shared" si="75"/>
        <v>480000</v>
      </c>
      <c r="AC453" s="607">
        <f t="shared" si="73"/>
        <v>240000</v>
      </c>
      <c r="AD453" s="266"/>
    </row>
    <row r="454" spans="1:30" s="272" customFormat="1" ht="47.25" x14ac:dyDescent="0.25">
      <c r="A454" s="74">
        <v>451</v>
      </c>
      <c r="B454" s="373">
        <v>43998</v>
      </c>
      <c r="C454" s="358" t="s">
        <v>4371</v>
      </c>
      <c r="D454" s="358"/>
      <c r="E454" s="358" t="s">
        <v>309</v>
      </c>
      <c r="F454" s="335" t="s">
        <v>4372</v>
      </c>
      <c r="G454" s="269"/>
      <c r="H454" s="335" t="s">
        <v>273</v>
      </c>
      <c r="I454" s="358" t="s">
        <v>4373</v>
      </c>
      <c r="J454" s="269"/>
      <c r="K454" s="269"/>
      <c r="L454" s="266"/>
      <c r="M454" s="278"/>
      <c r="N454" s="439"/>
      <c r="O454" s="507" t="s">
        <v>1048</v>
      </c>
      <c r="P454" s="507" t="s">
        <v>153</v>
      </c>
      <c r="Q454" s="507">
        <v>300</v>
      </c>
      <c r="R454" s="549">
        <v>500000</v>
      </c>
      <c r="S454" s="507">
        <v>300000</v>
      </c>
      <c r="T454" s="507">
        <v>800000</v>
      </c>
      <c r="U454" s="266"/>
      <c r="V454" s="266"/>
      <c r="W454" s="266"/>
      <c r="X454" s="266"/>
      <c r="Y454" s="271">
        <v>0.3</v>
      </c>
      <c r="Z454" s="605">
        <f t="shared" si="67"/>
        <v>240000</v>
      </c>
      <c r="AA454" s="266"/>
      <c r="AB454" s="605">
        <f t="shared" si="75"/>
        <v>480000</v>
      </c>
      <c r="AC454" s="607">
        <f t="shared" si="73"/>
        <v>240000</v>
      </c>
      <c r="AD454" s="266"/>
    </row>
    <row r="455" spans="1:30" ht="47.25" x14ac:dyDescent="0.25">
      <c r="A455" s="311">
        <v>452</v>
      </c>
      <c r="B455" s="22">
        <v>43998</v>
      </c>
      <c r="C455" s="148" t="s">
        <v>4377</v>
      </c>
      <c r="D455" s="148"/>
      <c r="E455" s="148" t="s">
        <v>3646</v>
      </c>
      <c r="F455" s="101" t="s">
        <v>4376</v>
      </c>
      <c r="G455" s="10"/>
      <c r="H455" s="101" t="s">
        <v>273</v>
      </c>
      <c r="I455" s="148" t="s">
        <v>4378</v>
      </c>
      <c r="J455" s="10" t="s">
        <v>4379</v>
      </c>
      <c r="K455" s="10"/>
      <c r="L455" s="19"/>
      <c r="M455" s="13"/>
      <c r="N455" s="249"/>
      <c r="O455" s="356" t="s">
        <v>1048</v>
      </c>
      <c r="P455" s="356" t="s">
        <v>153</v>
      </c>
      <c r="Q455" s="356">
        <v>300</v>
      </c>
      <c r="R455" s="350">
        <v>500000</v>
      </c>
      <c r="S455" s="356">
        <v>300000</v>
      </c>
      <c r="T455" s="356">
        <v>800000</v>
      </c>
      <c r="U455" s="19"/>
      <c r="V455" s="19"/>
      <c r="W455" s="19"/>
      <c r="X455" s="19"/>
      <c r="Y455" s="165">
        <v>0.3</v>
      </c>
      <c r="Z455" s="376">
        <f t="shared" si="67"/>
        <v>240000</v>
      </c>
      <c r="AA455" s="19"/>
      <c r="AB455" s="376">
        <f t="shared" si="75"/>
        <v>480000</v>
      </c>
      <c r="AC455" s="38">
        <f t="shared" si="73"/>
        <v>240000</v>
      </c>
      <c r="AD455" s="19" t="s">
        <v>783</v>
      </c>
    </row>
    <row r="456" spans="1:30" ht="47.25" x14ac:dyDescent="0.25">
      <c r="A456" s="113">
        <v>453</v>
      </c>
      <c r="B456" s="22">
        <v>43998</v>
      </c>
      <c r="C456" s="148" t="s">
        <v>4380</v>
      </c>
      <c r="D456" s="148"/>
      <c r="E456" s="148" t="s">
        <v>3646</v>
      </c>
      <c r="F456" s="101" t="s">
        <v>4381</v>
      </c>
      <c r="G456" s="10"/>
      <c r="H456" s="101" t="s">
        <v>273</v>
      </c>
      <c r="I456" s="148" t="s">
        <v>4382</v>
      </c>
      <c r="J456" s="37" t="s">
        <v>4384</v>
      </c>
      <c r="K456" s="310" t="s">
        <v>4383</v>
      </c>
      <c r="L456" s="19"/>
      <c r="M456" s="13"/>
      <c r="N456" s="249"/>
      <c r="O456" s="356" t="s">
        <v>1048</v>
      </c>
      <c r="P456" s="356" t="s">
        <v>153</v>
      </c>
      <c r="Q456" s="356">
        <v>300</v>
      </c>
      <c r="R456" s="350">
        <v>500000</v>
      </c>
      <c r="S456" s="356">
        <v>300000</v>
      </c>
      <c r="T456" s="356">
        <v>800000</v>
      </c>
      <c r="U456" s="19"/>
      <c r="V456" s="19"/>
      <c r="W456" s="19"/>
      <c r="X456" s="19"/>
      <c r="Y456" s="165">
        <v>0.3</v>
      </c>
      <c r="Z456" s="376">
        <f t="shared" si="67"/>
        <v>240000</v>
      </c>
      <c r="AA456" s="19"/>
      <c r="AB456" s="376">
        <f t="shared" si="75"/>
        <v>480000</v>
      </c>
      <c r="AC456" s="38">
        <f t="shared" si="73"/>
        <v>240000</v>
      </c>
      <c r="AD456" s="19"/>
    </row>
    <row r="457" spans="1:30" s="272" customFormat="1" ht="47.25" x14ac:dyDescent="0.25">
      <c r="A457" s="74">
        <v>454</v>
      </c>
      <c r="B457" s="373">
        <v>43998</v>
      </c>
      <c r="C457" s="358" t="s">
        <v>4386</v>
      </c>
      <c r="D457" s="358"/>
      <c r="E457" s="358" t="s">
        <v>457</v>
      </c>
      <c r="F457" s="335" t="s">
        <v>4385</v>
      </c>
      <c r="G457" s="269"/>
      <c r="H457" s="335" t="s">
        <v>273</v>
      </c>
      <c r="I457" s="358" t="s">
        <v>4387</v>
      </c>
      <c r="J457" s="269"/>
      <c r="K457" s="269"/>
      <c r="L457" s="266"/>
      <c r="M457" s="278"/>
      <c r="N457" s="439"/>
      <c r="O457" s="507" t="s">
        <v>1048</v>
      </c>
      <c r="P457" s="507" t="s">
        <v>153</v>
      </c>
      <c r="Q457" s="507">
        <v>300</v>
      </c>
      <c r="R457" s="549">
        <v>500000</v>
      </c>
      <c r="S457" s="507">
        <v>300000</v>
      </c>
      <c r="T457" s="507">
        <v>800000</v>
      </c>
      <c r="U457" s="266"/>
      <c r="V457" s="266"/>
      <c r="W457" s="266"/>
      <c r="X457" s="266"/>
      <c r="Y457" s="271">
        <v>0.3</v>
      </c>
      <c r="Z457" s="605">
        <f t="shared" si="67"/>
        <v>240000</v>
      </c>
      <c r="AA457" s="266"/>
      <c r="AB457" s="605">
        <f t="shared" si="75"/>
        <v>480000</v>
      </c>
      <c r="AC457" s="607">
        <f t="shared" si="73"/>
        <v>240000</v>
      </c>
      <c r="AD457" s="266"/>
    </row>
    <row r="458" spans="1:30" ht="47.25" x14ac:dyDescent="0.25">
      <c r="A458" s="311">
        <v>455</v>
      </c>
      <c r="B458" s="22">
        <v>43998</v>
      </c>
      <c r="C458" s="148" t="s">
        <v>4389</v>
      </c>
      <c r="D458" s="148"/>
      <c r="E458" s="148" t="s">
        <v>457</v>
      </c>
      <c r="F458" s="101" t="s">
        <v>4388</v>
      </c>
      <c r="G458" s="10"/>
      <c r="H458" s="101" t="s">
        <v>273</v>
      </c>
      <c r="I458" s="148" t="s">
        <v>4390</v>
      </c>
      <c r="J458" s="10"/>
      <c r="K458" s="10"/>
      <c r="L458" s="19"/>
      <c r="M458" s="13"/>
      <c r="N458" s="249"/>
      <c r="O458" s="356" t="s">
        <v>1048</v>
      </c>
      <c r="P458" s="356" t="s">
        <v>153</v>
      </c>
      <c r="Q458" s="356">
        <v>300</v>
      </c>
      <c r="R458" s="350">
        <v>500000</v>
      </c>
      <c r="S458" s="356">
        <v>300000</v>
      </c>
      <c r="T458" s="356">
        <v>800000</v>
      </c>
      <c r="U458" s="19"/>
      <c r="V458" s="19"/>
      <c r="W458" s="19"/>
      <c r="X458" s="19"/>
      <c r="Y458" s="165">
        <v>0.3</v>
      </c>
      <c r="Z458" s="376">
        <f t="shared" si="67"/>
        <v>240000</v>
      </c>
      <c r="AA458" s="19"/>
      <c r="AB458" s="376">
        <f t="shared" si="75"/>
        <v>480000</v>
      </c>
      <c r="AC458" s="38">
        <f t="shared" si="73"/>
        <v>240000</v>
      </c>
      <c r="AD458" s="19" t="s">
        <v>783</v>
      </c>
    </row>
    <row r="459" spans="1:30" s="272" customFormat="1" ht="47.25" x14ac:dyDescent="0.25">
      <c r="A459" s="113">
        <v>456</v>
      </c>
      <c r="B459" s="373">
        <v>44001</v>
      </c>
      <c r="C459" s="358" t="s">
        <v>4391</v>
      </c>
      <c r="D459" s="358"/>
      <c r="E459" s="358" t="s">
        <v>457</v>
      </c>
      <c r="F459" s="335" t="s">
        <v>4393</v>
      </c>
      <c r="G459" s="269"/>
      <c r="H459" s="335" t="s">
        <v>168</v>
      </c>
      <c r="I459" s="358" t="s">
        <v>4392</v>
      </c>
      <c r="J459" s="269"/>
      <c r="K459" s="269"/>
      <c r="L459" s="266"/>
      <c r="M459" s="278"/>
      <c r="N459" s="439"/>
      <c r="O459" s="507" t="s">
        <v>1048</v>
      </c>
      <c r="P459" s="507" t="s">
        <v>153</v>
      </c>
      <c r="Q459" s="507">
        <v>300</v>
      </c>
      <c r="R459" s="549">
        <v>500000</v>
      </c>
      <c r="S459" s="507">
        <v>300000</v>
      </c>
      <c r="T459" s="507">
        <v>800000</v>
      </c>
      <c r="U459" s="266"/>
      <c r="V459" s="266"/>
      <c r="W459" s="266"/>
      <c r="X459" s="266"/>
      <c r="Y459" s="271">
        <v>0.3</v>
      </c>
      <c r="Z459" s="605">
        <f t="shared" si="67"/>
        <v>240000</v>
      </c>
      <c r="AA459" s="266"/>
      <c r="AB459" s="605">
        <f t="shared" si="75"/>
        <v>480000</v>
      </c>
      <c r="AC459" s="607">
        <f t="shared" si="73"/>
        <v>240000</v>
      </c>
      <c r="AD459" s="266"/>
    </row>
    <row r="460" spans="1:30" s="272" customFormat="1" ht="47.25" x14ac:dyDescent="0.25">
      <c r="A460" s="74">
        <v>457</v>
      </c>
      <c r="B460" s="373">
        <v>44001</v>
      </c>
      <c r="C460" s="358" t="s">
        <v>4394</v>
      </c>
      <c r="D460" s="358"/>
      <c r="E460" s="358" t="s">
        <v>457</v>
      </c>
      <c r="F460" s="335" t="s">
        <v>4395</v>
      </c>
      <c r="G460" s="269"/>
      <c r="H460" s="335" t="s">
        <v>273</v>
      </c>
      <c r="I460" s="358" t="s">
        <v>4396</v>
      </c>
      <c r="J460" s="269"/>
      <c r="K460" s="269"/>
      <c r="L460" s="266"/>
      <c r="M460" s="278"/>
      <c r="N460" s="439"/>
      <c r="O460" s="507" t="s">
        <v>1048</v>
      </c>
      <c r="P460" s="507" t="s">
        <v>153</v>
      </c>
      <c r="Q460" s="507">
        <v>300</v>
      </c>
      <c r="R460" s="549">
        <v>500000</v>
      </c>
      <c r="S460" s="507">
        <v>300000</v>
      </c>
      <c r="T460" s="507">
        <v>800000</v>
      </c>
      <c r="U460" s="266"/>
      <c r="V460" s="266"/>
      <c r="W460" s="266"/>
      <c r="X460" s="266"/>
      <c r="Y460" s="271">
        <v>0.3</v>
      </c>
      <c r="Z460" s="605">
        <f t="shared" si="67"/>
        <v>240000</v>
      </c>
      <c r="AA460" s="266"/>
      <c r="AB460" s="605">
        <f t="shared" si="75"/>
        <v>480000</v>
      </c>
      <c r="AC460" s="607">
        <f t="shared" si="73"/>
        <v>240000</v>
      </c>
      <c r="AD460" s="266"/>
    </row>
    <row r="461" spans="1:30" ht="63" x14ac:dyDescent="0.25">
      <c r="A461" s="311">
        <v>458</v>
      </c>
      <c r="B461" s="22">
        <v>44001</v>
      </c>
      <c r="C461" s="148" t="s">
        <v>4397</v>
      </c>
      <c r="D461" s="148" t="s">
        <v>4402</v>
      </c>
      <c r="E461" s="148"/>
      <c r="F461" s="101" t="s">
        <v>4398</v>
      </c>
      <c r="G461" s="10"/>
      <c r="H461" s="101" t="s">
        <v>273</v>
      </c>
      <c r="I461" s="148" t="s">
        <v>4399</v>
      </c>
      <c r="J461" s="10" t="s">
        <v>4400</v>
      </c>
      <c r="K461" s="10"/>
      <c r="L461" s="19"/>
      <c r="M461" s="13"/>
      <c r="N461" s="249"/>
      <c r="O461" s="356" t="s">
        <v>1484</v>
      </c>
      <c r="P461" s="356" t="s">
        <v>153</v>
      </c>
      <c r="Q461" s="356">
        <v>1000</v>
      </c>
      <c r="R461" s="350">
        <v>500000</v>
      </c>
      <c r="S461" s="356">
        <v>675000</v>
      </c>
      <c r="T461" s="356">
        <f t="shared" ref="T461" si="78">R461+S461</f>
        <v>1175000</v>
      </c>
      <c r="U461" s="19"/>
      <c r="V461" s="19"/>
      <c r="W461" s="19"/>
      <c r="X461" s="19"/>
      <c r="Y461" s="165">
        <v>0.3</v>
      </c>
      <c r="Z461" s="376">
        <f t="shared" si="67"/>
        <v>352500</v>
      </c>
      <c r="AA461" s="19"/>
      <c r="AB461" s="376">
        <f t="shared" si="75"/>
        <v>705000</v>
      </c>
      <c r="AC461" s="38">
        <f t="shared" si="73"/>
        <v>352500</v>
      </c>
      <c r="AD461" s="19" t="s">
        <v>783</v>
      </c>
    </row>
    <row r="462" spans="1:30" s="272" customFormat="1" ht="47.25" x14ac:dyDescent="0.25">
      <c r="A462" s="113">
        <v>459</v>
      </c>
      <c r="B462" s="373">
        <v>44001</v>
      </c>
      <c r="C462" s="358" t="s">
        <v>4401</v>
      </c>
      <c r="D462" s="358" t="s">
        <v>5116</v>
      </c>
      <c r="E462" s="358"/>
      <c r="F462" s="335" t="s">
        <v>4404</v>
      </c>
      <c r="G462" s="269"/>
      <c r="H462" s="335" t="s">
        <v>273</v>
      </c>
      <c r="I462" s="358" t="s">
        <v>4403</v>
      </c>
      <c r="J462" s="269" t="s">
        <v>5117</v>
      </c>
      <c r="K462" s="269"/>
      <c r="L462" s="266"/>
      <c r="M462" s="278"/>
      <c r="N462" s="439"/>
      <c r="O462" s="507" t="s">
        <v>1048</v>
      </c>
      <c r="P462" s="507" t="s">
        <v>153</v>
      </c>
      <c r="Q462" s="507">
        <v>300</v>
      </c>
      <c r="R462" s="549">
        <v>500000</v>
      </c>
      <c r="S462" s="507">
        <v>300000</v>
      </c>
      <c r="T462" s="507">
        <v>800000</v>
      </c>
      <c r="U462" s="266"/>
      <c r="V462" s="266"/>
      <c r="W462" s="266"/>
      <c r="X462" s="266"/>
      <c r="Y462" s="271">
        <v>0.3</v>
      </c>
      <c r="Z462" s="605">
        <f t="shared" si="67"/>
        <v>240000</v>
      </c>
      <c r="AA462" s="266"/>
      <c r="AB462" s="605">
        <f t="shared" si="75"/>
        <v>480000</v>
      </c>
      <c r="AC462" s="607">
        <f t="shared" si="73"/>
        <v>240000</v>
      </c>
      <c r="AD462" s="266"/>
    </row>
    <row r="463" spans="1:30" s="272" customFormat="1" ht="47.25" x14ac:dyDescent="0.25">
      <c r="A463" s="74">
        <v>460</v>
      </c>
      <c r="B463" s="373">
        <v>44002</v>
      </c>
      <c r="C463" s="358" t="s">
        <v>4405</v>
      </c>
      <c r="D463" s="358" t="s">
        <v>4402</v>
      </c>
      <c r="E463" s="358"/>
      <c r="F463" s="335" t="s">
        <v>4406</v>
      </c>
      <c r="G463" s="269"/>
      <c r="H463" s="335" t="s">
        <v>273</v>
      </c>
      <c r="I463" s="358" t="s">
        <v>4407</v>
      </c>
      <c r="J463" s="269"/>
      <c r="K463" s="269"/>
      <c r="L463" s="266"/>
      <c r="M463" s="278"/>
      <c r="N463" s="439"/>
      <c r="O463" s="266" t="s">
        <v>299</v>
      </c>
      <c r="P463" s="266" t="s">
        <v>153</v>
      </c>
      <c r="Q463" s="266">
        <v>500</v>
      </c>
      <c r="R463" s="278">
        <v>500000</v>
      </c>
      <c r="S463" s="266">
        <v>425000</v>
      </c>
      <c r="T463" s="266">
        <f t="shared" ref="T463" si="79">R463+S463</f>
        <v>925000</v>
      </c>
      <c r="U463" s="266"/>
      <c r="V463" s="266"/>
      <c r="W463" s="266"/>
      <c r="X463" s="266"/>
      <c r="Y463" s="271">
        <v>0.3</v>
      </c>
      <c r="Z463" s="605">
        <f t="shared" si="67"/>
        <v>277500</v>
      </c>
      <c r="AA463" s="266"/>
      <c r="AB463" s="605">
        <f t="shared" si="75"/>
        <v>555000</v>
      </c>
      <c r="AC463" s="607">
        <f t="shared" si="73"/>
        <v>277500</v>
      </c>
      <c r="AD463" s="266"/>
    </row>
    <row r="464" spans="1:30" s="272" customFormat="1" ht="47.25" x14ac:dyDescent="0.25">
      <c r="A464" s="311">
        <v>461</v>
      </c>
      <c r="B464" s="373">
        <v>44002</v>
      </c>
      <c r="C464" s="358" t="s">
        <v>4409</v>
      </c>
      <c r="D464" s="358"/>
      <c r="E464" s="358" t="s">
        <v>309</v>
      </c>
      <c r="F464" s="335" t="s">
        <v>4408</v>
      </c>
      <c r="G464" s="269"/>
      <c r="H464" s="335" t="s">
        <v>273</v>
      </c>
      <c r="I464" s="358" t="s">
        <v>4410</v>
      </c>
      <c r="J464" s="269"/>
      <c r="K464" s="269"/>
      <c r="L464" s="266"/>
      <c r="M464" s="278"/>
      <c r="N464" s="439"/>
      <c r="O464" s="507" t="s">
        <v>1048</v>
      </c>
      <c r="P464" s="507" t="s">
        <v>153</v>
      </c>
      <c r="Q464" s="507">
        <v>300</v>
      </c>
      <c r="R464" s="549">
        <v>500000</v>
      </c>
      <c r="S464" s="507">
        <v>300000</v>
      </c>
      <c r="T464" s="507">
        <v>800000</v>
      </c>
      <c r="U464" s="266"/>
      <c r="V464" s="266"/>
      <c r="W464" s="266"/>
      <c r="X464" s="266"/>
      <c r="Y464" s="271">
        <v>0.3</v>
      </c>
      <c r="Z464" s="605">
        <f t="shared" si="67"/>
        <v>240000</v>
      </c>
      <c r="AA464" s="266"/>
      <c r="AB464" s="605">
        <f t="shared" si="75"/>
        <v>480000</v>
      </c>
      <c r="AC464" s="607">
        <f t="shared" si="73"/>
        <v>240000</v>
      </c>
      <c r="AD464" s="266"/>
    </row>
    <row r="465" spans="1:30" s="272" customFormat="1" ht="47.25" x14ac:dyDescent="0.25">
      <c r="A465" s="113">
        <v>462</v>
      </c>
      <c r="B465" s="373">
        <v>44002</v>
      </c>
      <c r="C465" s="358" t="s">
        <v>4411</v>
      </c>
      <c r="D465" s="358"/>
      <c r="E465" s="358" t="s">
        <v>309</v>
      </c>
      <c r="F465" s="335" t="s">
        <v>4412</v>
      </c>
      <c r="G465" s="269"/>
      <c r="H465" s="335" t="s">
        <v>273</v>
      </c>
      <c r="I465" s="358" t="s">
        <v>4413</v>
      </c>
      <c r="J465" s="269"/>
      <c r="K465" s="269"/>
      <c r="L465" s="266"/>
      <c r="M465" s="278"/>
      <c r="N465" s="439"/>
      <c r="O465" s="507" t="s">
        <v>1048</v>
      </c>
      <c r="P465" s="507" t="s">
        <v>153</v>
      </c>
      <c r="Q465" s="507">
        <v>300</v>
      </c>
      <c r="R465" s="549">
        <v>500000</v>
      </c>
      <c r="S465" s="507">
        <v>300000</v>
      </c>
      <c r="T465" s="507">
        <v>800000</v>
      </c>
      <c r="U465" s="266"/>
      <c r="V465" s="266"/>
      <c r="W465" s="266"/>
      <c r="X465" s="266"/>
      <c r="Y465" s="271">
        <v>0.3</v>
      </c>
      <c r="Z465" s="605">
        <f t="shared" si="67"/>
        <v>240000</v>
      </c>
      <c r="AA465" s="266"/>
      <c r="AB465" s="605">
        <f t="shared" si="75"/>
        <v>480000</v>
      </c>
      <c r="AC465" s="607">
        <f t="shared" si="73"/>
        <v>240000</v>
      </c>
      <c r="AD465" s="266"/>
    </row>
    <row r="466" spans="1:30" s="272" customFormat="1" ht="47.25" x14ac:dyDescent="0.25">
      <c r="A466" s="74">
        <v>463</v>
      </c>
      <c r="B466" s="373">
        <v>44002</v>
      </c>
      <c r="C466" s="358" t="s">
        <v>4415</v>
      </c>
      <c r="D466" s="358"/>
      <c r="E466" s="358" t="s">
        <v>4753</v>
      </c>
      <c r="F466" s="335" t="s">
        <v>4414</v>
      </c>
      <c r="G466" s="269"/>
      <c r="H466" s="335" t="s">
        <v>273</v>
      </c>
      <c r="I466" s="358" t="s">
        <v>4416</v>
      </c>
      <c r="J466" s="269"/>
      <c r="K466" s="269"/>
      <c r="L466" s="266"/>
      <c r="M466" s="278"/>
      <c r="N466" s="439"/>
      <c r="O466" s="507" t="s">
        <v>1048</v>
      </c>
      <c r="P466" s="507" t="s">
        <v>153</v>
      </c>
      <c r="Q466" s="507">
        <v>300</v>
      </c>
      <c r="R466" s="549">
        <v>500000</v>
      </c>
      <c r="S466" s="507">
        <v>300000</v>
      </c>
      <c r="T466" s="507">
        <v>800000</v>
      </c>
      <c r="U466" s="266"/>
      <c r="V466" s="266"/>
      <c r="W466" s="266"/>
      <c r="X466" s="266"/>
      <c r="Y466" s="271">
        <v>0.3</v>
      </c>
      <c r="Z466" s="605">
        <f t="shared" si="67"/>
        <v>240000</v>
      </c>
      <c r="AA466" s="266"/>
      <c r="AB466" s="605">
        <f t="shared" si="75"/>
        <v>480000</v>
      </c>
      <c r="AC466" s="607">
        <f t="shared" si="73"/>
        <v>240000</v>
      </c>
      <c r="AD466" s="266"/>
    </row>
    <row r="467" spans="1:30" s="272" customFormat="1" ht="63" x14ac:dyDescent="0.25">
      <c r="A467" s="311">
        <v>464</v>
      </c>
      <c r="B467" s="373">
        <v>44002</v>
      </c>
      <c r="C467" s="358" t="s">
        <v>4417</v>
      </c>
      <c r="D467" s="358"/>
      <c r="E467" s="358" t="s">
        <v>2404</v>
      </c>
      <c r="F467" s="335" t="s">
        <v>4419</v>
      </c>
      <c r="G467" s="269"/>
      <c r="H467" s="335" t="s">
        <v>273</v>
      </c>
      <c r="I467" s="358" t="s">
        <v>4418</v>
      </c>
      <c r="J467" s="269"/>
      <c r="K467" s="269"/>
      <c r="L467" s="266"/>
      <c r="M467" s="278"/>
      <c r="N467" s="439"/>
      <c r="O467" s="507" t="s">
        <v>1048</v>
      </c>
      <c r="P467" s="507" t="s">
        <v>153</v>
      </c>
      <c r="Q467" s="507">
        <v>300</v>
      </c>
      <c r="R467" s="549">
        <v>500000</v>
      </c>
      <c r="S467" s="507">
        <v>300000</v>
      </c>
      <c r="T467" s="507">
        <v>800000</v>
      </c>
      <c r="U467" s="266"/>
      <c r="V467" s="266"/>
      <c r="W467" s="266"/>
      <c r="X467" s="266"/>
      <c r="Y467" s="271">
        <v>0.3</v>
      </c>
      <c r="Z467" s="605">
        <f t="shared" si="67"/>
        <v>240000</v>
      </c>
      <c r="AA467" s="266"/>
      <c r="AB467" s="605">
        <f t="shared" si="75"/>
        <v>480000</v>
      </c>
      <c r="AC467" s="607">
        <f t="shared" si="73"/>
        <v>240000</v>
      </c>
      <c r="AD467" s="266"/>
    </row>
    <row r="468" spans="1:30" s="272" customFormat="1" ht="47.25" x14ac:dyDescent="0.25">
      <c r="A468" s="113">
        <v>465</v>
      </c>
      <c r="B468" s="373">
        <v>44002</v>
      </c>
      <c r="C468" s="358" t="s">
        <v>4420</v>
      </c>
      <c r="D468" s="358" t="s">
        <v>4402</v>
      </c>
      <c r="E468" s="358" t="s">
        <v>3646</v>
      </c>
      <c r="F468" s="335" t="s">
        <v>4421</v>
      </c>
      <c r="G468" s="269"/>
      <c r="H468" s="335" t="s">
        <v>273</v>
      </c>
      <c r="I468" s="358" t="s">
        <v>4422</v>
      </c>
      <c r="J468" s="269" t="s">
        <v>5297</v>
      </c>
      <c r="K468" s="269"/>
      <c r="L468" s="266"/>
      <c r="M468" s="278"/>
      <c r="N468" s="439"/>
      <c r="O468" s="507" t="s">
        <v>1048</v>
      </c>
      <c r="P468" s="507" t="s">
        <v>153</v>
      </c>
      <c r="Q468" s="507">
        <v>300</v>
      </c>
      <c r="R468" s="549">
        <v>500000</v>
      </c>
      <c r="S468" s="507">
        <v>300000</v>
      </c>
      <c r="T468" s="507">
        <v>800000</v>
      </c>
      <c r="U468" s="266"/>
      <c r="V468" s="266"/>
      <c r="W468" s="266"/>
      <c r="X468" s="266"/>
      <c r="Y468" s="271">
        <v>0.3</v>
      </c>
      <c r="Z468" s="605">
        <f t="shared" si="67"/>
        <v>240000</v>
      </c>
      <c r="AA468" s="266"/>
      <c r="AB468" s="605">
        <f t="shared" si="75"/>
        <v>480000</v>
      </c>
      <c r="AC468" s="607">
        <f t="shared" si="73"/>
        <v>240000</v>
      </c>
      <c r="AD468" s="266"/>
    </row>
    <row r="469" spans="1:30" ht="47.25" x14ac:dyDescent="0.25">
      <c r="A469" s="74">
        <v>466</v>
      </c>
      <c r="B469" s="22">
        <v>44002</v>
      </c>
      <c r="C469" s="148" t="s">
        <v>4423</v>
      </c>
      <c r="D469" s="148"/>
      <c r="E469" s="148" t="s">
        <v>3646</v>
      </c>
      <c r="F469" s="101" t="s">
        <v>4425</v>
      </c>
      <c r="G469" s="10"/>
      <c r="H469" s="101" t="s">
        <v>4426</v>
      </c>
      <c r="I469" s="148" t="s">
        <v>4424</v>
      </c>
      <c r="J469" s="10" t="s">
        <v>5298</v>
      </c>
      <c r="K469" s="10"/>
      <c r="L469" s="19"/>
      <c r="M469" s="13"/>
      <c r="N469" s="249"/>
      <c r="O469" s="356" t="s">
        <v>1048</v>
      </c>
      <c r="P469" s="356" t="s">
        <v>153</v>
      </c>
      <c r="Q469" s="356">
        <v>300</v>
      </c>
      <c r="R469" s="350">
        <v>500000</v>
      </c>
      <c r="S469" s="356">
        <v>300000</v>
      </c>
      <c r="T469" s="356">
        <v>800000</v>
      </c>
      <c r="U469" s="19"/>
      <c r="V469" s="19"/>
      <c r="W469" s="19"/>
      <c r="X469" s="19"/>
      <c r="Y469" s="165">
        <v>0.35</v>
      </c>
      <c r="Z469" s="376">
        <f t="shared" si="67"/>
        <v>280000</v>
      </c>
      <c r="AA469" s="19"/>
      <c r="AB469" s="376">
        <f t="shared" si="75"/>
        <v>480000</v>
      </c>
      <c r="AC469" s="38">
        <f t="shared" si="73"/>
        <v>200000</v>
      </c>
      <c r="AD469" s="19" t="s">
        <v>783</v>
      </c>
    </row>
    <row r="470" spans="1:30" s="272" customFormat="1" ht="47.25" x14ac:dyDescent="0.25">
      <c r="A470" s="311">
        <v>467</v>
      </c>
      <c r="B470" s="373">
        <v>44002</v>
      </c>
      <c r="C470" s="358" t="s">
        <v>4427</v>
      </c>
      <c r="D470" s="358"/>
      <c r="E470" s="358" t="s">
        <v>309</v>
      </c>
      <c r="F470" s="335" t="s">
        <v>4428</v>
      </c>
      <c r="G470" s="269"/>
      <c r="H470" s="335" t="s">
        <v>273</v>
      </c>
      <c r="I470" s="358" t="s">
        <v>4429</v>
      </c>
      <c r="J470" s="269"/>
      <c r="K470" s="269"/>
      <c r="L470" s="266"/>
      <c r="M470" s="278"/>
      <c r="N470" s="439"/>
      <c r="O470" s="507" t="s">
        <v>1048</v>
      </c>
      <c r="P470" s="507" t="s">
        <v>153</v>
      </c>
      <c r="Q470" s="507">
        <v>300</v>
      </c>
      <c r="R470" s="549">
        <v>500000</v>
      </c>
      <c r="S470" s="507">
        <v>300000</v>
      </c>
      <c r="T470" s="507">
        <v>800000</v>
      </c>
      <c r="U470" s="266"/>
      <c r="V470" s="266"/>
      <c r="W470" s="266"/>
      <c r="X470" s="266"/>
      <c r="Y470" s="271">
        <v>0.3</v>
      </c>
      <c r="Z470" s="605">
        <f t="shared" si="67"/>
        <v>240000</v>
      </c>
      <c r="AA470" s="266"/>
      <c r="AB470" s="605">
        <f t="shared" si="75"/>
        <v>480000</v>
      </c>
      <c r="AC470" s="607">
        <f t="shared" si="73"/>
        <v>240000</v>
      </c>
      <c r="AD470" s="266"/>
    </row>
    <row r="471" spans="1:30" ht="47.25" x14ac:dyDescent="0.25">
      <c r="A471" s="113">
        <v>468</v>
      </c>
      <c r="B471" s="22">
        <v>44002</v>
      </c>
      <c r="C471" s="148" t="s">
        <v>4431</v>
      </c>
      <c r="D471" s="148" t="s">
        <v>4402</v>
      </c>
      <c r="E471" s="148" t="s">
        <v>3646</v>
      </c>
      <c r="F471" s="101" t="s">
        <v>4430</v>
      </c>
      <c r="G471" s="10"/>
      <c r="H471" s="101" t="s">
        <v>273</v>
      </c>
      <c r="I471" s="148" t="s">
        <v>4432</v>
      </c>
      <c r="J471" s="10" t="s">
        <v>5299</v>
      </c>
      <c r="K471" s="208" t="s">
        <v>5300</v>
      </c>
      <c r="L471" s="19"/>
      <c r="M471" s="13"/>
      <c r="N471" s="249"/>
      <c r="O471" s="356" t="s">
        <v>1048</v>
      </c>
      <c r="P471" s="356" t="s">
        <v>153</v>
      </c>
      <c r="Q471" s="356">
        <v>300</v>
      </c>
      <c r="R471" s="350">
        <v>500000</v>
      </c>
      <c r="S471" s="356">
        <v>300000</v>
      </c>
      <c r="T471" s="356">
        <v>800000</v>
      </c>
      <c r="U471" s="19"/>
      <c r="V471" s="19"/>
      <c r="W471" s="19"/>
      <c r="X471" s="19"/>
      <c r="Y471" s="165">
        <v>0.3</v>
      </c>
      <c r="Z471" s="376">
        <f t="shared" si="67"/>
        <v>240000</v>
      </c>
      <c r="AA471" s="19"/>
      <c r="AB471" s="376">
        <f t="shared" si="75"/>
        <v>480000</v>
      </c>
      <c r="AC471" s="38">
        <f t="shared" si="73"/>
        <v>240000</v>
      </c>
      <c r="AD471" s="19" t="s">
        <v>783</v>
      </c>
    </row>
    <row r="472" spans="1:30" s="272" customFormat="1" ht="47.25" x14ac:dyDescent="0.25">
      <c r="A472" s="74">
        <v>469</v>
      </c>
      <c r="B472" s="373">
        <v>44002</v>
      </c>
      <c r="C472" s="358" t="s">
        <v>4433</v>
      </c>
      <c r="D472" s="358"/>
      <c r="E472" s="358" t="s">
        <v>309</v>
      </c>
      <c r="F472" s="335" t="s">
        <v>4434</v>
      </c>
      <c r="G472" s="269"/>
      <c r="H472" s="335" t="s">
        <v>273</v>
      </c>
      <c r="I472" s="358" t="s">
        <v>4435</v>
      </c>
      <c r="J472" s="269"/>
      <c r="K472" s="269"/>
      <c r="L472" s="266"/>
      <c r="M472" s="278"/>
      <c r="N472" s="439"/>
      <c r="O472" s="507" t="s">
        <v>1048</v>
      </c>
      <c r="P472" s="507" t="s">
        <v>153</v>
      </c>
      <c r="Q472" s="507">
        <v>300</v>
      </c>
      <c r="R472" s="549">
        <v>500000</v>
      </c>
      <c r="S472" s="507">
        <v>300000</v>
      </c>
      <c r="T472" s="507">
        <v>800000</v>
      </c>
      <c r="U472" s="266"/>
      <c r="V472" s="266"/>
      <c r="W472" s="266"/>
      <c r="X472" s="266"/>
      <c r="Y472" s="271">
        <v>0.3</v>
      </c>
      <c r="Z472" s="605">
        <f t="shared" si="67"/>
        <v>240000</v>
      </c>
      <c r="AA472" s="266"/>
      <c r="AB472" s="605">
        <f t="shared" si="75"/>
        <v>480000</v>
      </c>
      <c r="AC472" s="607">
        <f t="shared" si="73"/>
        <v>240000</v>
      </c>
      <c r="AD472" s="266"/>
    </row>
    <row r="473" spans="1:30" s="272" customFormat="1" ht="47.25" x14ac:dyDescent="0.25">
      <c r="A473" s="311">
        <v>470</v>
      </c>
      <c r="B473" s="373">
        <v>44002</v>
      </c>
      <c r="C473" s="358" t="s">
        <v>4436</v>
      </c>
      <c r="D473" s="358"/>
      <c r="E473" s="358" t="s">
        <v>309</v>
      </c>
      <c r="F473" s="335" t="s">
        <v>4437</v>
      </c>
      <c r="G473" s="269"/>
      <c r="H473" s="335" t="s">
        <v>4439</v>
      </c>
      <c r="I473" s="358" t="s">
        <v>4438</v>
      </c>
      <c r="J473" s="269"/>
      <c r="K473" s="269"/>
      <c r="L473" s="266"/>
      <c r="M473" s="278"/>
      <c r="N473" s="439"/>
      <c r="O473" s="507" t="s">
        <v>1048</v>
      </c>
      <c r="P473" s="507" t="s">
        <v>153</v>
      </c>
      <c r="Q473" s="507">
        <v>300</v>
      </c>
      <c r="R473" s="549">
        <v>500000</v>
      </c>
      <c r="S473" s="507">
        <v>300000</v>
      </c>
      <c r="T473" s="507">
        <v>800000</v>
      </c>
      <c r="U473" s="266"/>
      <c r="V473" s="266"/>
      <c r="W473" s="266"/>
      <c r="X473" s="266"/>
      <c r="Y473" s="271">
        <v>0.3</v>
      </c>
      <c r="Z473" s="605">
        <f t="shared" si="67"/>
        <v>240000</v>
      </c>
      <c r="AA473" s="266"/>
      <c r="AB473" s="605">
        <f t="shared" si="75"/>
        <v>480000</v>
      </c>
      <c r="AC473" s="607">
        <f t="shared" si="73"/>
        <v>240000</v>
      </c>
      <c r="AD473" s="266"/>
    </row>
    <row r="474" spans="1:30" s="272" customFormat="1" ht="47.25" x14ac:dyDescent="0.25">
      <c r="A474" s="113">
        <v>471</v>
      </c>
      <c r="B474" s="373">
        <v>44002</v>
      </c>
      <c r="C474" s="358" t="s">
        <v>4440</v>
      </c>
      <c r="D474" s="358" t="s">
        <v>4402</v>
      </c>
      <c r="E474" s="358" t="s">
        <v>309</v>
      </c>
      <c r="F474" s="335" t="s">
        <v>4442</v>
      </c>
      <c r="G474" s="269"/>
      <c r="H474" s="335" t="s">
        <v>273</v>
      </c>
      <c r="I474" s="358" t="s">
        <v>4441</v>
      </c>
      <c r="J474" s="269"/>
      <c r="K474" s="269"/>
      <c r="L474" s="266"/>
      <c r="M474" s="278"/>
      <c r="N474" s="439"/>
      <c r="O474" s="507" t="s">
        <v>1048</v>
      </c>
      <c r="P474" s="507" t="s">
        <v>153</v>
      </c>
      <c r="Q474" s="507">
        <v>300</v>
      </c>
      <c r="R474" s="549">
        <v>500000</v>
      </c>
      <c r="S474" s="507">
        <v>300000</v>
      </c>
      <c r="T474" s="507">
        <v>800000</v>
      </c>
      <c r="U474" s="266"/>
      <c r="V474" s="266"/>
      <c r="W474" s="266"/>
      <c r="X474" s="266"/>
      <c r="Y474" s="271">
        <v>0.3</v>
      </c>
      <c r="Z474" s="605">
        <f t="shared" si="67"/>
        <v>240000</v>
      </c>
      <c r="AA474" s="266"/>
      <c r="AB474" s="605">
        <f t="shared" si="75"/>
        <v>480000</v>
      </c>
      <c r="AC474" s="607">
        <f t="shared" si="73"/>
        <v>240000</v>
      </c>
      <c r="AD474" s="266"/>
    </row>
    <row r="475" spans="1:30" s="272" customFormat="1" ht="47.25" x14ac:dyDescent="0.25">
      <c r="A475" s="74">
        <v>472</v>
      </c>
      <c r="B475" s="373">
        <v>44002</v>
      </c>
      <c r="C475" s="358" t="s">
        <v>4443</v>
      </c>
      <c r="D475" s="358" t="s">
        <v>4402</v>
      </c>
      <c r="E475" s="358" t="s">
        <v>2404</v>
      </c>
      <c r="F475" s="335" t="s">
        <v>4445</v>
      </c>
      <c r="G475" s="269"/>
      <c r="H475" s="335" t="s">
        <v>273</v>
      </c>
      <c r="I475" s="358" t="s">
        <v>4444</v>
      </c>
      <c r="J475" s="269"/>
      <c r="K475" s="269"/>
      <c r="L475" s="266"/>
      <c r="M475" s="278"/>
      <c r="N475" s="439"/>
      <c r="O475" s="507" t="s">
        <v>1048</v>
      </c>
      <c r="P475" s="507" t="s">
        <v>153</v>
      </c>
      <c r="Q475" s="507">
        <v>300</v>
      </c>
      <c r="R475" s="549">
        <v>500000</v>
      </c>
      <c r="S475" s="507">
        <v>300000</v>
      </c>
      <c r="T475" s="507">
        <v>800000</v>
      </c>
      <c r="U475" s="266"/>
      <c r="V475" s="266"/>
      <c r="W475" s="266"/>
      <c r="X475" s="266"/>
      <c r="Y475" s="271">
        <v>0.3</v>
      </c>
      <c r="Z475" s="605">
        <f t="shared" si="67"/>
        <v>240000</v>
      </c>
      <c r="AA475" s="266"/>
      <c r="AB475" s="605">
        <f t="shared" si="75"/>
        <v>480000</v>
      </c>
      <c r="AC475" s="607">
        <f t="shared" si="73"/>
        <v>240000</v>
      </c>
      <c r="AD475" s="266"/>
    </row>
    <row r="476" spans="1:30" s="272" customFormat="1" ht="47.25" x14ac:dyDescent="0.25">
      <c r="A476" s="311">
        <v>473</v>
      </c>
      <c r="B476" s="373">
        <v>44002</v>
      </c>
      <c r="C476" s="358" t="s">
        <v>4447</v>
      </c>
      <c r="D476" s="358"/>
      <c r="E476" s="358" t="s">
        <v>309</v>
      </c>
      <c r="F476" s="335" t="s">
        <v>4446</v>
      </c>
      <c r="G476" s="269"/>
      <c r="H476" s="335" t="s">
        <v>273</v>
      </c>
      <c r="I476" s="358" t="s">
        <v>4448</v>
      </c>
      <c r="J476" s="269"/>
      <c r="K476" s="269"/>
      <c r="L476" s="266"/>
      <c r="M476" s="278"/>
      <c r="N476" s="439"/>
      <c r="O476" s="507" t="s">
        <v>1048</v>
      </c>
      <c r="P476" s="507" t="s">
        <v>153</v>
      </c>
      <c r="Q476" s="507">
        <v>300</v>
      </c>
      <c r="R476" s="549">
        <v>500000</v>
      </c>
      <c r="S476" s="507">
        <v>300000</v>
      </c>
      <c r="T476" s="507">
        <v>800000</v>
      </c>
      <c r="U476" s="266"/>
      <c r="V476" s="266"/>
      <c r="W476" s="266"/>
      <c r="X476" s="266"/>
      <c r="Y476" s="271">
        <v>0.3</v>
      </c>
      <c r="Z476" s="605">
        <f t="shared" si="67"/>
        <v>240000</v>
      </c>
      <c r="AA476" s="266"/>
      <c r="AB476" s="605">
        <f t="shared" si="75"/>
        <v>480000</v>
      </c>
      <c r="AC476" s="607">
        <f t="shared" si="73"/>
        <v>240000</v>
      </c>
      <c r="AD476" s="266"/>
    </row>
    <row r="477" spans="1:30" s="272" customFormat="1" ht="47.25" x14ac:dyDescent="0.25">
      <c r="A477" s="113">
        <v>474</v>
      </c>
      <c r="B477" s="373">
        <v>44002</v>
      </c>
      <c r="C477" s="358" t="s">
        <v>4449</v>
      </c>
      <c r="D477" s="358"/>
      <c r="E477" s="358" t="s">
        <v>309</v>
      </c>
      <c r="F477" s="335" t="s">
        <v>4450</v>
      </c>
      <c r="G477" s="269"/>
      <c r="H477" s="335" t="s">
        <v>273</v>
      </c>
      <c r="I477" s="358" t="s">
        <v>4448</v>
      </c>
      <c r="J477" s="269"/>
      <c r="K477" s="269"/>
      <c r="L477" s="266"/>
      <c r="M477" s="278"/>
      <c r="N477" s="439"/>
      <c r="O477" s="507" t="s">
        <v>1048</v>
      </c>
      <c r="P477" s="507" t="s">
        <v>153</v>
      </c>
      <c r="Q477" s="507">
        <v>300</v>
      </c>
      <c r="R477" s="549">
        <v>500000</v>
      </c>
      <c r="S477" s="507">
        <v>300000</v>
      </c>
      <c r="T477" s="507">
        <v>800000</v>
      </c>
      <c r="U477" s="266"/>
      <c r="V477" s="266"/>
      <c r="W477" s="266"/>
      <c r="X477" s="266"/>
      <c r="Y477" s="271">
        <v>0.3</v>
      </c>
      <c r="Z477" s="605">
        <f t="shared" si="67"/>
        <v>240000</v>
      </c>
      <c r="AA477" s="266"/>
      <c r="AB477" s="605">
        <f t="shared" si="75"/>
        <v>480000</v>
      </c>
      <c r="AC477" s="607">
        <f t="shared" si="73"/>
        <v>240000</v>
      </c>
      <c r="AD477" s="266"/>
    </row>
    <row r="478" spans="1:30" s="272" customFormat="1" ht="47.25" x14ac:dyDescent="0.25">
      <c r="A478" s="74">
        <v>475</v>
      </c>
      <c r="B478" s="373">
        <v>44004</v>
      </c>
      <c r="C478" s="358" t="s">
        <v>4451</v>
      </c>
      <c r="D478" s="358" t="s">
        <v>1686</v>
      </c>
      <c r="E478" s="358"/>
      <c r="F478" s="335" t="s">
        <v>4452</v>
      </c>
      <c r="G478" s="269"/>
      <c r="H478" s="335" t="s">
        <v>2199</v>
      </c>
      <c r="I478" s="358" t="s">
        <v>4453</v>
      </c>
      <c r="J478" s="269"/>
      <c r="K478" s="269"/>
      <c r="L478" s="266"/>
      <c r="M478" s="278"/>
      <c r="N478" s="439"/>
      <c r="O478" s="266" t="s">
        <v>299</v>
      </c>
      <c r="P478" s="266" t="s">
        <v>153</v>
      </c>
      <c r="Q478" s="266">
        <v>500</v>
      </c>
      <c r="R478" s="278">
        <v>500000</v>
      </c>
      <c r="S478" s="266">
        <v>425000</v>
      </c>
      <c r="T478" s="266">
        <f t="shared" ref="T478" si="80">R478+S478</f>
        <v>925000</v>
      </c>
      <c r="U478" s="266"/>
      <c r="V478" s="266"/>
      <c r="W478" s="266"/>
      <c r="X478" s="266"/>
      <c r="Y478" s="271">
        <v>0.47</v>
      </c>
      <c r="Z478" s="605">
        <f t="shared" ref="Z478:Z541" si="81">T478*Y478</f>
        <v>434750</v>
      </c>
      <c r="AA478" s="266"/>
      <c r="AB478" s="605">
        <f t="shared" si="75"/>
        <v>555000</v>
      </c>
      <c r="AC478" s="607">
        <f t="shared" si="73"/>
        <v>120250</v>
      </c>
      <c r="AD478" s="266"/>
    </row>
    <row r="479" spans="1:30" s="272" customFormat="1" ht="47.25" x14ac:dyDescent="0.25">
      <c r="A479" s="311">
        <v>476</v>
      </c>
      <c r="B479" s="373">
        <v>44004</v>
      </c>
      <c r="C479" s="358" t="s">
        <v>4454</v>
      </c>
      <c r="D479" s="358" t="s">
        <v>1686</v>
      </c>
      <c r="E479" s="358"/>
      <c r="F479" s="335" t="s">
        <v>4455</v>
      </c>
      <c r="G479" s="269"/>
      <c r="H479" s="335" t="s">
        <v>2199</v>
      </c>
      <c r="I479" s="358" t="s">
        <v>4456</v>
      </c>
      <c r="J479" s="269"/>
      <c r="K479" s="269"/>
      <c r="L479" s="266"/>
      <c r="M479" s="278"/>
      <c r="N479" s="439"/>
      <c r="O479" s="507" t="s">
        <v>1048</v>
      </c>
      <c r="P479" s="507" t="s">
        <v>153</v>
      </c>
      <c r="Q479" s="507">
        <v>300</v>
      </c>
      <c r="R479" s="549">
        <v>500000</v>
      </c>
      <c r="S479" s="507">
        <v>300000</v>
      </c>
      <c r="T479" s="507">
        <v>800000</v>
      </c>
      <c r="U479" s="266"/>
      <c r="V479" s="266"/>
      <c r="W479" s="266"/>
      <c r="X479" s="266"/>
      <c r="Y479" s="271">
        <v>0.47</v>
      </c>
      <c r="Z479" s="605">
        <f t="shared" si="81"/>
        <v>376000</v>
      </c>
      <c r="AA479" s="266"/>
      <c r="AB479" s="605">
        <f t="shared" si="75"/>
        <v>480000</v>
      </c>
      <c r="AC479" s="607">
        <f t="shared" si="73"/>
        <v>104000</v>
      </c>
      <c r="AD479" s="266"/>
    </row>
    <row r="480" spans="1:30" s="272" customFormat="1" ht="31.5" x14ac:dyDescent="0.25">
      <c r="A480" s="113">
        <v>477</v>
      </c>
      <c r="B480" s="373">
        <v>44006</v>
      </c>
      <c r="C480" s="358" t="s">
        <v>4457</v>
      </c>
      <c r="D480" s="358" t="s">
        <v>457</v>
      </c>
      <c r="E480" s="358"/>
      <c r="F480" s="335" t="s">
        <v>4459</v>
      </c>
      <c r="G480" s="269"/>
      <c r="H480" s="335" t="s">
        <v>3540</v>
      </c>
      <c r="I480" s="358" t="s">
        <v>4458</v>
      </c>
      <c r="J480" s="269"/>
      <c r="K480" s="269"/>
      <c r="L480" s="266"/>
      <c r="M480" s="278"/>
      <c r="N480" s="439"/>
      <c r="O480" s="266" t="s">
        <v>299</v>
      </c>
      <c r="P480" s="266" t="s">
        <v>153</v>
      </c>
      <c r="Q480" s="266">
        <v>500</v>
      </c>
      <c r="R480" s="278">
        <v>500000</v>
      </c>
      <c r="S480" s="266">
        <v>425000</v>
      </c>
      <c r="T480" s="266">
        <f t="shared" ref="T480" si="82">R480+S480</f>
        <v>925000</v>
      </c>
      <c r="U480" s="266"/>
      <c r="V480" s="266"/>
      <c r="W480" s="266"/>
      <c r="X480" s="266"/>
      <c r="Y480" s="271">
        <v>0.4</v>
      </c>
      <c r="Z480" s="605">
        <f t="shared" si="81"/>
        <v>370000</v>
      </c>
      <c r="AA480" s="266"/>
      <c r="AB480" s="605">
        <f t="shared" si="75"/>
        <v>555000</v>
      </c>
      <c r="AC480" s="607">
        <f t="shared" si="73"/>
        <v>185000</v>
      </c>
      <c r="AD480" s="266" t="s">
        <v>4460</v>
      </c>
    </row>
    <row r="481" spans="1:30" s="272" customFormat="1" ht="63" x14ac:dyDescent="0.25">
      <c r="A481" s="74">
        <v>478</v>
      </c>
      <c r="B481" s="373">
        <v>44006</v>
      </c>
      <c r="C481" s="358" t="s">
        <v>4461</v>
      </c>
      <c r="D481" s="358"/>
      <c r="E481" s="358" t="s">
        <v>309</v>
      </c>
      <c r="F481" s="335" t="s">
        <v>4463</v>
      </c>
      <c r="G481" s="269"/>
      <c r="H481" s="335" t="s">
        <v>1772</v>
      </c>
      <c r="I481" s="358" t="s">
        <v>4462</v>
      </c>
      <c r="J481" s="269"/>
      <c r="K481" s="269"/>
      <c r="L481" s="266"/>
      <c r="M481" s="278"/>
      <c r="N481" s="439"/>
      <c r="O481" s="507" t="s">
        <v>1048</v>
      </c>
      <c r="P481" s="507" t="s">
        <v>153</v>
      </c>
      <c r="Q481" s="507">
        <v>300</v>
      </c>
      <c r="R481" s="549">
        <v>500000</v>
      </c>
      <c r="S481" s="507">
        <v>300000</v>
      </c>
      <c r="T481" s="507">
        <v>800000</v>
      </c>
      <c r="U481" s="266"/>
      <c r="V481" s="266"/>
      <c r="W481" s="266"/>
      <c r="X481" s="266"/>
      <c r="Y481" s="271">
        <v>0.4</v>
      </c>
      <c r="Z481" s="605">
        <f t="shared" si="81"/>
        <v>320000</v>
      </c>
      <c r="AA481" s="266"/>
      <c r="AB481" s="605">
        <f t="shared" si="75"/>
        <v>480000</v>
      </c>
      <c r="AC481" s="607">
        <f t="shared" si="73"/>
        <v>160000</v>
      </c>
      <c r="AD481" s="266"/>
    </row>
    <row r="482" spans="1:30" s="272" customFormat="1" ht="47.25" x14ac:dyDescent="0.25">
      <c r="A482" s="311">
        <v>479</v>
      </c>
      <c r="B482" s="373">
        <v>44006</v>
      </c>
      <c r="C482" s="358" t="s">
        <v>4464</v>
      </c>
      <c r="D482" s="358"/>
      <c r="E482" s="358" t="s">
        <v>309</v>
      </c>
      <c r="F482" s="335" t="s">
        <v>4466</v>
      </c>
      <c r="G482" s="269"/>
      <c r="H482" s="335" t="s">
        <v>273</v>
      </c>
      <c r="I482" s="358" t="s">
        <v>4465</v>
      </c>
      <c r="J482" s="269"/>
      <c r="K482" s="269"/>
      <c r="L482" s="266"/>
      <c r="M482" s="278"/>
      <c r="N482" s="439"/>
      <c r="O482" s="507" t="s">
        <v>1048</v>
      </c>
      <c r="P482" s="507" t="s">
        <v>153</v>
      </c>
      <c r="Q482" s="507">
        <v>300</v>
      </c>
      <c r="R482" s="549">
        <v>500000</v>
      </c>
      <c r="S482" s="507">
        <v>300000</v>
      </c>
      <c r="T482" s="507">
        <v>800000</v>
      </c>
      <c r="U482" s="266"/>
      <c r="V482" s="266"/>
      <c r="W482" s="266"/>
      <c r="X482" s="266"/>
      <c r="Y482" s="271">
        <v>0.4</v>
      </c>
      <c r="Z482" s="605">
        <f t="shared" si="81"/>
        <v>320000</v>
      </c>
      <c r="AA482" s="266"/>
      <c r="AB482" s="605">
        <f t="shared" si="75"/>
        <v>480000</v>
      </c>
      <c r="AC482" s="607">
        <f t="shared" si="73"/>
        <v>160000</v>
      </c>
      <c r="AD482" s="266"/>
    </row>
    <row r="483" spans="1:30" s="272" customFormat="1" ht="63" x14ac:dyDescent="0.25">
      <c r="A483" s="113">
        <v>480</v>
      </c>
      <c r="B483" s="373">
        <v>44006</v>
      </c>
      <c r="C483" s="358" t="s">
        <v>4467</v>
      </c>
      <c r="D483" s="358"/>
      <c r="E483" s="358" t="s">
        <v>309</v>
      </c>
      <c r="F483" s="335" t="s">
        <v>4468</v>
      </c>
      <c r="G483" s="269"/>
      <c r="H483" s="335" t="s">
        <v>1772</v>
      </c>
      <c r="I483" s="358" t="s">
        <v>4469</v>
      </c>
      <c r="J483" s="269"/>
      <c r="K483" s="269"/>
      <c r="L483" s="266"/>
      <c r="M483" s="278"/>
      <c r="N483" s="439"/>
      <c r="O483" s="507" t="s">
        <v>1048</v>
      </c>
      <c r="P483" s="507" t="s">
        <v>153</v>
      </c>
      <c r="Q483" s="507">
        <v>300</v>
      </c>
      <c r="R483" s="549">
        <v>500000</v>
      </c>
      <c r="S483" s="507">
        <v>300000</v>
      </c>
      <c r="T483" s="507">
        <v>800000</v>
      </c>
      <c r="U483" s="266"/>
      <c r="V483" s="266"/>
      <c r="W483" s="266"/>
      <c r="X483" s="266"/>
      <c r="Y483" s="271">
        <v>0.4</v>
      </c>
      <c r="Z483" s="605">
        <f t="shared" si="81"/>
        <v>320000</v>
      </c>
      <c r="AA483" s="266"/>
      <c r="AB483" s="605">
        <f t="shared" si="75"/>
        <v>480000</v>
      </c>
      <c r="AC483" s="607">
        <f t="shared" si="73"/>
        <v>160000</v>
      </c>
      <c r="AD483" s="266"/>
    </row>
    <row r="484" spans="1:30" s="272" customFormat="1" ht="47.25" x14ac:dyDescent="0.25">
      <c r="A484" s="74">
        <v>481</v>
      </c>
      <c r="B484" s="373">
        <v>44006</v>
      </c>
      <c r="C484" s="358" t="s">
        <v>4470</v>
      </c>
      <c r="D484" s="358"/>
      <c r="E484" s="358" t="s">
        <v>309</v>
      </c>
      <c r="F484" s="335" t="s">
        <v>4472</v>
      </c>
      <c r="G484" s="269"/>
      <c r="H484" s="335" t="s">
        <v>273</v>
      </c>
      <c r="I484" s="358" t="s">
        <v>4471</v>
      </c>
      <c r="J484" s="269"/>
      <c r="K484" s="269"/>
      <c r="L484" s="266"/>
      <c r="M484" s="278"/>
      <c r="N484" s="439"/>
      <c r="O484" s="266" t="s">
        <v>1422</v>
      </c>
      <c r="P484" s="266" t="s">
        <v>180</v>
      </c>
      <c r="Q484" s="266">
        <v>2000</v>
      </c>
      <c r="R484" s="278">
        <v>500000</v>
      </c>
      <c r="S484" s="266">
        <v>1100000</v>
      </c>
      <c r="T484" s="266">
        <f t="shared" ref="T484" si="83">R484+S484</f>
        <v>1600000</v>
      </c>
      <c r="U484" s="266"/>
      <c r="V484" s="266"/>
      <c r="W484" s="266"/>
      <c r="X484" s="266"/>
      <c r="Y484" s="271">
        <v>0.3</v>
      </c>
      <c r="Z484" s="605">
        <f t="shared" si="81"/>
        <v>480000</v>
      </c>
      <c r="AA484" s="266"/>
      <c r="AB484" s="605">
        <f t="shared" si="75"/>
        <v>960000</v>
      </c>
      <c r="AC484" s="607">
        <f t="shared" si="73"/>
        <v>480000</v>
      </c>
      <c r="AD484" s="266"/>
    </row>
    <row r="485" spans="1:30" s="272" customFormat="1" ht="63" x14ac:dyDescent="0.25">
      <c r="A485" s="311">
        <v>482</v>
      </c>
      <c r="B485" s="373">
        <v>44006</v>
      </c>
      <c r="C485" s="358" t="s">
        <v>4473</v>
      </c>
      <c r="D485" s="358" t="s">
        <v>4402</v>
      </c>
      <c r="E485" s="358" t="s">
        <v>3646</v>
      </c>
      <c r="F485" s="335" t="s">
        <v>4474</v>
      </c>
      <c r="G485" s="269"/>
      <c r="H485" s="335" t="s">
        <v>273</v>
      </c>
      <c r="I485" s="358" t="s">
        <v>4475</v>
      </c>
      <c r="J485" s="498" t="s">
        <v>4477</v>
      </c>
      <c r="K485" s="269"/>
      <c r="L485" s="266"/>
      <c r="M485" s="278"/>
      <c r="N485" s="439"/>
      <c r="O485" s="507" t="s">
        <v>1048</v>
      </c>
      <c r="P485" s="507" t="s">
        <v>153</v>
      </c>
      <c r="Q485" s="507">
        <v>300</v>
      </c>
      <c r="R485" s="549">
        <v>500000</v>
      </c>
      <c r="S485" s="507">
        <v>300000</v>
      </c>
      <c r="T485" s="507">
        <v>800000</v>
      </c>
      <c r="U485" s="266"/>
      <c r="V485" s="266"/>
      <c r="W485" s="266"/>
      <c r="X485" s="266"/>
      <c r="Y485" s="271">
        <v>0.3</v>
      </c>
      <c r="Z485" s="605">
        <f t="shared" si="81"/>
        <v>240000</v>
      </c>
      <c r="AA485" s="266"/>
      <c r="AB485" s="605">
        <f t="shared" si="75"/>
        <v>480000</v>
      </c>
      <c r="AC485" s="607">
        <f t="shared" si="73"/>
        <v>240000</v>
      </c>
      <c r="AD485" s="266"/>
    </row>
    <row r="486" spans="1:30" s="272" customFormat="1" ht="63" x14ac:dyDescent="0.25">
      <c r="A486" s="113">
        <v>483</v>
      </c>
      <c r="B486" s="373">
        <v>44006</v>
      </c>
      <c r="C486" s="358" t="s">
        <v>4476</v>
      </c>
      <c r="D486" s="358"/>
      <c r="E486" s="358" t="s">
        <v>309</v>
      </c>
      <c r="F486" s="335" t="s">
        <v>4479</v>
      </c>
      <c r="G486" s="269"/>
      <c r="H486" s="335" t="s">
        <v>273</v>
      </c>
      <c r="I486" s="358" t="s">
        <v>4478</v>
      </c>
      <c r="J486" s="269"/>
      <c r="K486" s="269"/>
      <c r="L486" s="266"/>
      <c r="M486" s="278"/>
      <c r="N486" s="439"/>
      <c r="O486" s="507" t="s">
        <v>1048</v>
      </c>
      <c r="P486" s="507" t="s">
        <v>153</v>
      </c>
      <c r="Q486" s="507">
        <v>300</v>
      </c>
      <c r="R486" s="549">
        <v>500000</v>
      </c>
      <c r="S486" s="507">
        <v>300000</v>
      </c>
      <c r="T486" s="507">
        <v>800000</v>
      </c>
      <c r="U486" s="266"/>
      <c r="V486" s="266"/>
      <c r="W486" s="266"/>
      <c r="X486" s="266"/>
      <c r="Y486" s="271">
        <v>0.3</v>
      </c>
      <c r="Z486" s="605">
        <f t="shared" si="81"/>
        <v>240000</v>
      </c>
      <c r="AA486" s="266"/>
      <c r="AB486" s="605">
        <f t="shared" si="75"/>
        <v>480000</v>
      </c>
      <c r="AC486" s="607">
        <f t="shared" si="73"/>
        <v>240000</v>
      </c>
      <c r="AD486" s="266"/>
    </row>
    <row r="487" spans="1:30" ht="47.25" x14ac:dyDescent="0.25">
      <c r="A487" s="74">
        <v>484</v>
      </c>
      <c r="B487" s="22">
        <v>44006</v>
      </c>
      <c r="C487" s="148" t="s">
        <v>4480</v>
      </c>
      <c r="D487" s="148"/>
      <c r="E487" s="148" t="s">
        <v>3646</v>
      </c>
      <c r="F487" s="101" t="s">
        <v>4482</v>
      </c>
      <c r="G487" s="10"/>
      <c r="H487" s="335" t="s">
        <v>273</v>
      </c>
      <c r="I487" s="148" t="s">
        <v>4481</v>
      </c>
      <c r="J487" s="10" t="s">
        <v>5301</v>
      </c>
      <c r="K487" s="10"/>
      <c r="L487" s="19"/>
      <c r="M487" s="13"/>
      <c r="N487" s="249"/>
      <c r="O487" s="19" t="s">
        <v>4483</v>
      </c>
      <c r="P487" s="19"/>
      <c r="Q487" s="19"/>
      <c r="R487" s="13"/>
      <c r="S487" s="19"/>
      <c r="T487" s="19"/>
      <c r="U487" s="19"/>
      <c r="V487" s="19"/>
      <c r="W487" s="19"/>
      <c r="X487" s="19"/>
      <c r="Y487" s="19"/>
      <c r="Z487" s="376">
        <f t="shared" si="81"/>
        <v>0</v>
      </c>
      <c r="AA487" s="19"/>
      <c r="AB487" s="376">
        <f t="shared" si="75"/>
        <v>0</v>
      </c>
      <c r="AC487" s="38">
        <f t="shared" si="73"/>
        <v>0</v>
      </c>
      <c r="AD487" s="19"/>
    </row>
    <row r="488" spans="1:30" s="272" customFormat="1" ht="47.25" x14ac:dyDescent="0.25">
      <c r="A488" s="311">
        <v>485</v>
      </c>
      <c r="B488" s="373">
        <v>44006</v>
      </c>
      <c r="C488" s="358" t="s">
        <v>4485</v>
      </c>
      <c r="D488" s="358"/>
      <c r="E488" s="358" t="s">
        <v>309</v>
      </c>
      <c r="F488" s="335" t="s">
        <v>4484</v>
      </c>
      <c r="G488" s="269"/>
      <c r="H488" s="335" t="s">
        <v>273</v>
      </c>
      <c r="I488" s="358" t="s">
        <v>4486</v>
      </c>
      <c r="J488" s="269"/>
      <c r="K488" s="269"/>
      <c r="L488" s="266"/>
      <c r="M488" s="278"/>
      <c r="N488" s="439"/>
      <c r="O488" s="507" t="s">
        <v>1048</v>
      </c>
      <c r="P488" s="507" t="s">
        <v>153</v>
      </c>
      <c r="Q488" s="507">
        <v>300</v>
      </c>
      <c r="R488" s="549">
        <v>500000</v>
      </c>
      <c r="S488" s="507">
        <v>300000</v>
      </c>
      <c r="T488" s="507">
        <v>800000</v>
      </c>
      <c r="U488" s="266"/>
      <c r="V488" s="266"/>
      <c r="W488" s="266"/>
      <c r="X488" s="266"/>
      <c r="Y488" s="271">
        <v>0.3</v>
      </c>
      <c r="Z488" s="605">
        <f t="shared" si="81"/>
        <v>240000</v>
      </c>
      <c r="AA488" s="266"/>
      <c r="AB488" s="605">
        <f t="shared" si="75"/>
        <v>480000</v>
      </c>
      <c r="AC488" s="607">
        <f t="shared" si="73"/>
        <v>240000</v>
      </c>
      <c r="AD488" s="266"/>
    </row>
    <row r="489" spans="1:30" s="272" customFormat="1" ht="47.25" x14ac:dyDescent="0.25">
      <c r="A489" s="113">
        <v>486</v>
      </c>
      <c r="B489" s="373">
        <v>44006</v>
      </c>
      <c r="C489" s="358" t="s">
        <v>4487</v>
      </c>
      <c r="D489" s="358"/>
      <c r="E489" s="358" t="s">
        <v>309</v>
      </c>
      <c r="F489" s="335" t="s">
        <v>4489</v>
      </c>
      <c r="G489" s="269"/>
      <c r="H489" s="335" t="s">
        <v>273</v>
      </c>
      <c r="I489" s="358" t="s">
        <v>4488</v>
      </c>
      <c r="J489" s="269"/>
      <c r="K489" s="269"/>
      <c r="L489" s="266"/>
      <c r="M489" s="278"/>
      <c r="N489" s="439"/>
      <c r="O489" s="507" t="s">
        <v>1048</v>
      </c>
      <c r="P489" s="507" t="s">
        <v>153</v>
      </c>
      <c r="Q489" s="507">
        <v>300</v>
      </c>
      <c r="R489" s="549">
        <v>500000</v>
      </c>
      <c r="S489" s="507">
        <v>300000</v>
      </c>
      <c r="T489" s="507">
        <v>800000</v>
      </c>
      <c r="U489" s="266"/>
      <c r="V489" s="266"/>
      <c r="W489" s="266"/>
      <c r="X489" s="266"/>
      <c r="Y489" s="271">
        <v>0.3</v>
      </c>
      <c r="Z489" s="605">
        <f t="shared" si="81"/>
        <v>240000</v>
      </c>
      <c r="AA489" s="266"/>
      <c r="AB489" s="605">
        <f t="shared" si="75"/>
        <v>480000</v>
      </c>
      <c r="AC489" s="607">
        <f t="shared" si="73"/>
        <v>240000</v>
      </c>
      <c r="AD489" s="266"/>
    </row>
    <row r="490" spans="1:30" ht="47.25" x14ac:dyDescent="0.25">
      <c r="A490" s="74">
        <v>487</v>
      </c>
      <c r="B490" s="22">
        <v>44006</v>
      </c>
      <c r="C490" s="148" t="s">
        <v>4490</v>
      </c>
      <c r="D490" s="148"/>
      <c r="E490" s="148" t="s">
        <v>3646</v>
      </c>
      <c r="F490" s="101" t="s">
        <v>4491</v>
      </c>
      <c r="G490" s="10"/>
      <c r="H490" s="101" t="s">
        <v>273</v>
      </c>
      <c r="I490" s="148" t="s">
        <v>4492</v>
      </c>
      <c r="J490" s="10" t="s">
        <v>4496</v>
      </c>
      <c r="K490" s="10"/>
      <c r="L490" s="19"/>
      <c r="M490" s="13"/>
      <c r="N490" s="249"/>
      <c r="O490" s="356" t="s">
        <v>1048</v>
      </c>
      <c r="P490" s="356" t="s">
        <v>153</v>
      </c>
      <c r="Q490" s="356">
        <v>300</v>
      </c>
      <c r="R490" s="350">
        <v>500000</v>
      </c>
      <c r="S490" s="356">
        <v>300000</v>
      </c>
      <c r="T490" s="356">
        <v>800000</v>
      </c>
      <c r="U490" s="19"/>
      <c r="V490" s="19"/>
      <c r="W490" s="19"/>
      <c r="X490" s="19"/>
      <c r="Y490" s="165">
        <v>0.3</v>
      </c>
      <c r="Z490" s="376">
        <f t="shared" si="81"/>
        <v>240000</v>
      </c>
      <c r="AA490" s="19"/>
      <c r="AB490" s="376">
        <f t="shared" si="75"/>
        <v>480000</v>
      </c>
      <c r="AC490" s="38">
        <f t="shared" si="73"/>
        <v>240000</v>
      </c>
      <c r="AD490" s="19" t="s">
        <v>5305</v>
      </c>
    </row>
    <row r="491" spans="1:30" s="272" customFormat="1" ht="47.25" x14ac:dyDescent="0.25">
      <c r="A491" s="311">
        <v>488</v>
      </c>
      <c r="B491" s="373">
        <v>44006</v>
      </c>
      <c r="C491" s="358" t="s">
        <v>4493</v>
      </c>
      <c r="D491" s="358" t="s">
        <v>4402</v>
      </c>
      <c r="E491" s="358" t="s">
        <v>3646</v>
      </c>
      <c r="F491" s="335" t="s">
        <v>4495</v>
      </c>
      <c r="G491" s="269"/>
      <c r="H491" s="335" t="s">
        <v>273</v>
      </c>
      <c r="I491" s="358" t="s">
        <v>4494</v>
      </c>
      <c r="J491" s="269" t="s">
        <v>5302</v>
      </c>
      <c r="K491" s="269"/>
      <c r="L491" s="266"/>
      <c r="M491" s="278"/>
      <c r="N491" s="439"/>
      <c r="O491" s="266" t="s">
        <v>299</v>
      </c>
      <c r="P491" s="266" t="s">
        <v>153</v>
      </c>
      <c r="Q491" s="266">
        <v>500</v>
      </c>
      <c r="R491" s="278">
        <v>500000</v>
      </c>
      <c r="S491" s="266">
        <v>425000</v>
      </c>
      <c r="T491" s="266">
        <f t="shared" ref="T491" si="84">R491+S491</f>
        <v>925000</v>
      </c>
      <c r="U491" s="266"/>
      <c r="V491" s="266"/>
      <c r="W491" s="266"/>
      <c r="X491" s="266"/>
      <c r="Y491" s="271">
        <v>0.3</v>
      </c>
      <c r="Z491" s="605">
        <f t="shared" si="81"/>
        <v>277500</v>
      </c>
      <c r="AA491" s="266"/>
      <c r="AB491" s="605">
        <f t="shared" si="75"/>
        <v>555000</v>
      </c>
      <c r="AC491" s="607">
        <f t="shared" si="73"/>
        <v>277500</v>
      </c>
      <c r="AD491" s="266"/>
    </row>
    <row r="492" spans="1:30" s="272" customFormat="1" ht="47.25" x14ac:dyDescent="0.25">
      <c r="A492" s="113">
        <v>489</v>
      </c>
      <c r="B492" s="373">
        <v>44007</v>
      </c>
      <c r="C492" s="358" t="s">
        <v>4498</v>
      </c>
      <c r="D492" s="358"/>
      <c r="E492" s="358" t="s">
        <v>309</v>
      </c>
      <c r="F492" s="335" t="s">
        <v>4497</v>
      </c>
      <c r="G492" s="269"/>
      <c r="H492" s="335" t="s">
        <v>273</v>
      </c>
      <c r="I492" s="358" t="s">
        <v>4499</v>
      </c>
      <c r="J492" s="269"/>
      <c r="K492" s="269"/>
      <c r="L492" s="266"/>
      <c r="M492" s="278"/>
      <c r="N492" s="439"/>
      <c r="O492" s="507" t="s">
        <v>1048</v>
      </c>
      <c r="P492" s="507" t="s">
        <v>153</v>
      </c>
      <c r="Q492" s="507">
        <v>300</v>
      </c>
      <c r="R492" s="549">
        <v>500000</v>
      </c>
      <c r="S492" s="507">
        <v>300000</v>
      </c>
      <c r="T492" s="507">
        <v>800000</v>
      </c>
      <c r="U492" s="266"/>
      <c r="V492" s="266"/>
      <c r="W492" s="266"/>
      <c r="X492" s="266"/>
      <c r="Y492" s="271">
        <v>0.3</v>
      </c>
      <c r="Z492" s="605">
        <f t="shared" si="81"/>
        <v>240000</v>
      </c>
      <c r="AA492" s="266"/>
      <c r="AB492" s="605">
        <f t="shared" si="75"/>
        <v>480000</v>
      </c>
      <c r="AC492" s="607">
        <f t="shared" si="73"/>
        <v>240000</v>
      </c>
      <c r="AD492" s="266"/>
    </row>
    <row r="493" spans="1:30" s="272" customFormat="1" ht="47.25" x14ac:dyDescent="0.25">
      <c r="A493" s="74">
        <v>490</v>
      </c>
      <c r="B493" s="373">
        <v>44007</v>
      </c>
      <c r="C493" s="358" t="s">
        <v>4500</v>
      </c>
      <c r="D493" s="358"/>
      <c r="E493" s="358" t="s">
        <v>309</v>
      </c>
      <c r="F493" s="335" t="s">
        <v>4502</v>
      </c>
      <c r="G493" s="269"/>
      <c r="H493" s="335" t="s">
        <v>273</v>
      </c>
      <c r="I493" s="358" t="s">
        <v>4501</v>
      </c>
      <c r="J493" s="269"/>
      <c r="K493" s="269"/>
      <c r="L493" s="266"/>
      <c r="M493" s="278"/>
      <c r="N493" s="439"/>
      <c r="O493" s="507" t="s">
        <v>1048</v>
      </c>
      <c r="P493" s="507" t="s">
        <v>153</v>
      </c>
      <c r="Q493" s="507">
        <v>300</v>
      </c>
      <c r="R493" s="549">
        <v>500000</v>
      </c>
      <c r="S493" s="507">
        <v>300000</v>
      </c>
      <c r="T493" s="507">
        <v>800000</v>
      </c>
      <c r="U493" s="266"/>
      <c r="V493" s="266"/>
      <c r="W493" s="266"/>
      <c r="X493" s="266"/>
      <c r="Y493" s="271">
        <v>0.3</v>
      </c>
      <c r="Z493" s="605">
        <f t="shared" si="81"/>
        <v>240000</v>
      </c>
      <c r="AA493" s="266"/>
      <c r="AB493" s="605">
        <f t="shared" si="75"/>
        <v>480000</v>
      </c>
      <c r="AC493" s="607">
        <f t="shared" si="73"/>
        <v>240000</v>
      </c>
      <c r="AD493" s="266"/>
    </row>
    <row r="494" spans="1:30" ht="31.5" x14ac:dyDescent="0.25">
      <c r="A494" s="311">
        <v>491</v>
      </c>
      <c r="B494" s="22">
        <v>44007</v>
      </c>
      <c r="C494" s="148" t="s">
        <v>4503</v>
      </c>
      <c r="D494" s="148"/>
      <c r="E494" s="148" t="s">
        <v>3646</v>
      </c>
      <c r="F494" s="101" t="s">
        <v>4505</v>
      </c>
      <c r="G494" s="10"/>
      <c r="H494" s="101" t="s">
        <v>273</v>
      </c>
      <c r="I494" s="148" t="s">
        <v>4504</v>
      </c>
      <c r="J494" s="10" t="s">
        <v>5303</v>
      </c>
      <c r="K494" s="10"/>
      <c r="L494" s="19"/>
      <c r="M494" s="13"/>
      <c r="N494" s="249"/>
      <c r="O494" s="356" t="s">
        <v>1048</v>
      </c>
      <c r="P494" s="356" t="s">
        <v>153</v>
      </c>
      <c r="Q494" s="356">
        <v>300</v>
      </c>
      <c r="R494" s="350">
        <v>500000</v>
      </c>
      <c r="S494" s="356">
        <v>300000</v>
      </c>
      <c r="T494" s="356">
        <v>800000</v>
      </c>
      <c r="U494" s="19"/>
      <c r="V494" s="19"/>
      <c r="W494" s="19"/>
      <c r="X494" s="19"/>
      <c r="Y494" s="165">
        <v>0.3</v>
      </c>
      <c r="Z494" s="376">
        <f t="shared" si="81"/>
        <v>240000</v>
      </c>
      <c r="AA494" s="19"/>
      <c r="AB494" s="376">
        <f t="shared" si="75"/>
        <v>480000</v>
      </c>
      <c r="AC494" s="38">
        <f t="shared" si="73"/>
        <v>240000</v>
      </c>
      <c r="AD494" s="19"/>
    </row>
    <row r="495" spans="1:30" s="272" customFormat="1" ht="47.25" x14ac:dyDescent="0.25">
      <c r="A495" s="113">
        <v>492</v>
      </c>
      <c r="B495" s="373">
        <v>44007</v>
      </c>
      <c r="C495" s="358" t="s">
        <v>4506</v>
      </c>
      <c r="D495" s="358"/>
      <c r="E495" s="358" t="s">
        <v>309</v>
      </c>
      <c r="F495" s="335" t="s">
        <v>4507</v>
      </c>
      <c r="G495" s="269"/>
      <c r="H495" s="335" t="s">
        <v>273</v>
      </c>
      <c r="I495" s="358" t="s">
        <v>4508</v>
      </c>
      <c r="J495" s="269"/>
      <c r="K495" s="269"/>
      <c r="L495" s="266"/>
      <c r="M495" s="278"/>
      <c r="N495" s="439"/>
      <c r="O495" s="507" t="s">
        <v>1048</v>
      </c>
      <c r="P495" s="507" t="s">
        <v>153</v>
      </c>
      <c r="Q495" s="507">
        <v>300</v>
      </c>
      <c r="R495" s="549">
        <v>500000</v>
      </c>
      <c r="S495" s="507">
        <v>300000</v>
      </c>
      <c r="T495" s="507">
        <v>800000</v>
      </c>
      <c r="U495" s="266"/>
      <c r="V495" s="266"/>
      <c r="W495" s="266"/>
      <c r="X495" s="266"/>
      <c r="Y495" s="271">
        <v>0.3</v>
      </c>
      <c r="Z495" s="605">
        <f t="shared" si="81"/>
        <v>240000</v>
      </c>
      <c r="AA495" s="266"/>
      <c r="AB495" s="605">
        <f t="shared" si="75"/>
        <v>480000</v>
      </c>
      <c r="AC495" s="607">
        <f t="shared" si="73"/>
        <v>240000</v>
      </c>
      <c r="AD495" s="266"/>
    </row>
    <row r="496" spans="1:30" s="272" customFormat="1" ht="47.25" x14ac:dyDescent="0.25">
      <c r="A496" s="74">
        <v>493</v>
      </c>
      <c r="B496" s="373">
        <v>44007</v>
      </c>
      <c r="C496" s="358" t="s">
        <v>4509</v>
      </c>
      <c r="D496" s="358"/>
      <c r="E496" s="358" t="s">
        <v>309</v>
      </c>
      <c r="F496" s="335" t="s">
        <v>4510</v>
      </c>
      <c r="G496" s="269"/>
      <c r="H496" s="335" t="s">
        <v>273</v>
      </c>
      <c r="I496" s="358" t="s">
        <v>4511</v>
      </c>
      <c r="J496" s="269"/>
      <c r="K496" s="269"/>
      <c r="L496" s="266"/>
      <c r="M496" s="278"/>
      <c r="N496" s="439"/>
      <c r="O496" s="507" t="s">
        <v>1048</v>
      </c>
      <c r="P496" s="507" t="s">
        <v>153</v>
      </c>
      <c r="Q496" s="507">
        <v>300</v>
      </c>
      <c r="R496" s="549">
        <v>500000</v>
      </c>
      <c r="S496" s="507">
        <v>300000</v>
      </c>
      <c r="T496" s="507">
        <v>800000</v>
      </c>
      <c r="U496" s="266"/>
      <c r="V496" s="266"/>
      <c r="W496" s="266"/>
      <c r="X496" s="266"/>
      <c r="Y496" s="271">
        <v>0.3</v>
      </c>
      <c r="Z496" s="605">
        <f t="shared" si="81"/>
        <v>240000</v>
      </c>
      <c r="AA496" s="266"/>
      <c r="AB496" s="605">
        <f t="shared" si="75"/>
        <v>480000</v>
      </c>
      <c r="AC496" s="607">
        <f t="shared" si="73"/>
        <v>240000</v>
      </c>
      <c r="AD496" s="266"/>
    </row>
    <row r="497" spans="1:30" ht="47.25" x14ac:dyDescent="0.25">
      <c r="A497" s="311">
        <v>494</v>
      </c>
      <c r="B497" s="22">
        <v>44007</v>
      </c>
      <c r="C497" s="148" t="s">
        <v>4512</v>
      </c>
      <c r="D497" s="148"/>
      <c r="E497" s="148" t="s">
        <v>2404</v>
      </c>
      <c r="F497" s="101" t="s">
        <v>4514</v>
      </c>
      <c r="G497" s="10"/>
      <c r="H497" s="335" t="s">
        <v>273</v>
      </c>
      <c r="I497" s="148" t="s">
        <v>4513</v>
      </c>
      <c r="J497" s="10"/>
      <c r="K497" s="10"/>
      <c r="L497" s="19"/>
      <c r="M497" s="13"/>
      <c r="N497" s="249"/>
      <c r="O497" s="356" t="s">
        <v>1048</v>
      </c>
      <c r="P497" s="356" t="s">
        <v>153</v>
      </c>
      <c r="Q497" s="356">
        <v>300</v>
      </c>
      <c r="R497" s="350">
        <v>500000</v>
      </c>
      <c r="S497" s="356">
        <v>300000</v>
      </c>
      <c r="T497" s="356">
        <v>800000</v>
      </c>
      <c r="U497" s="19"/>
      <c r="V497" s="19"/>
      <c r="W497" s="19"/>
      <c r="X497" s="19"/>
      <c r="Y497" s="165">
        <v>0.3</v>
      </c>
      <c r="Z497" s="376">
        <f t="shared" si="81"/>
        <v>240000</v>
      </c>
      <c r="AA497" s="19"/>
      <c r="AB497" s="376">
        <f t="shared" si="75"/>
        <v>480000</v>
      </c>
      <c r="AC497" s="38">
        <f t="shared" si="73"/>
        <v>240000</v>
      </c>
      <c r="AD497" s="19"/>
    </row>
    <row r="498" spans="1:30" ht="47.25" x14ac:dyDescent="0.25">
      <c r="A498" s="113">
        <v>495</v>
      </c>
      <c r="B498" s="22">
        <v>44007</v>
      </c>
      <c r="C498" s="148" t="s">
        <v>4515</v>
      </c>
      <c r="D498" s="148"/>
      <c r="E498" s="148" t="s">
        <v>3646</v>
      </c>
      <c r="F498" s="101" t="s">
        <v>4517</v>
      </c>
      <c r="G498" s="10"/>
      <c r="H498" s="101" t="s">
        <v>273</v>
      </c>
      <c r="I498" s="148" t="s">
        <v>4516</v>
      </c>
      <c r="J498" s="10" t="s">
        <v>5304</v>
      </c>
      <c r="K498" s="10"/>
      <c r="L498" s="19"/>
      <c r="M498" s="13"/>
      <c r="N498" s="249"/>
      <c r="O498" s="356" t="s">
        <v>1484</v>
      </c>
      <c r="P498" s="356" t="s">
        <v>153</v>
      </c>
      <c r="Q498" s="356">
        <v>1000</v>
      </c>
      <c r="R498" s="350">
        <v>500000</v>
      </c>
      <c r="S498" s="356">
        <v>675000</v>
      </c>
      <c r="T498" s="356">
        <f t="shared" ref="T498" si="85">R498+S498</f>
        <v>1175000</v>
      </c>
      <c r="U498" s="19"/>
      <c r="V498" s="19"/>
      <c r="W498" s="19"/>
      <c r="X498" s="19"/>
      <c r="Y498" s="165">
        <v>0.3</v>
      </c>
      <c r="Z498" s="376">
        <f t="shared" si="81"/>
        <v>352500</v>
      </c>
      <c r="AA498" s="19"/>
      <c r="AB498" s="376">
        <f t="shared" si="75"/>
        <v>705000</v>
      </c>
      <c r="AC498" s="38">
        <f t="shared" si="73"/>
        <v>352500</v>
      </c>
      <c r="AD498" s="19" t="s">
        <v>783</v>
      </c>
    </row>
    <row r="499" spans="1:30" ht="63" x14ac:dyDescent="0.25">
      <c r="A499" s="74">
        <v>496</v>
      </c>
      <c r="B499" s="22">
        <v>44007</v>
      </c>
      <c r="C499" s="148" t="s">
        <v>4518</v>
      </c>
      <c r="D499" s="148"/>
      <c r="E499" s="148"/>
      <c r="F499" s="101" t="s">
        <v>4520</v>
      </c>
      <c r="G499" s="10"/>
      <c r="H499" s="101" t="s">
        <v>273</v>
      </c>
      <c r="I499" s="148" t="s">
        <v>4521</v>
      </c>
      <c r="J499" s="10"/>
      <c r="K499" s="10"/>
      <c r="L499" s="19"/>
      <c r="M499" s="13"/>
      <c r="N499" s="249"/>
      <c r="O499" s="356" t="s">
        <v>1048</v>
      </c>
      <c r="P499" s="356" t="s">
        <v>153</v>
      </c>
      <c r="Q499" s="356">
        <v>300</v>
      </c>
      <c r="R499" s="350">
        <v>500000</v>
      </c>
      <c r="S499" s="356">
        <v>300000</v>
      </c>
      <c r="T499" s="356">
        <v>800000</v>
      </c>
      <c r="U499" s="19"/>
      <c r="V499" s="19"/>
      <c r="W499" s="19"/>
      <c r="X499" s="19"/>
      <c r="Y499" s="165">
        <v>0.3</v>
      </c>
      <c r="Z499" s="376">
        <f t="shared" si="81"/>
        <v>240000</v>
      </c>
      <c r="AA499" s="19"/>
      <c r="AB499" s="376">
        <f t="shared" si="75"/>
        <v>480000</v>
      </c>
      <c r="AC499" s="38">
        <f t="shared" si="73"/>
        <v>240000</v>
      </c>
      <c r="AD499" s="19" t="s">
        <v>5306</v>
      </c>
    </row>
    <row r="500" spans="1:30" ht="63" x14ac:dyDescent="0.25">
      <c r="A500" s="311">
        <v>497</v>
      </c>
      <c r="B500" s="22">
        <v>44007</v>
      </c>
      <c r="C500" s="148" t="s">
        <v>4519</v>
      </c>
      <c r="D500" s="148"/>
      <c r="E500" s="148"/>
      <c r="F500" s="101" t="s">
        <v>4522</v>
      </c>
      <c r="G500" s="10"/>
      <c r="H500" s="335" t="s">
        <v>273</v>
      </c>
      <c r="I500" s="148" t="s">
        <v>4521</v>
      </c>
      <c r="J500" s="10" t="s">
        <v>4523</v>
      </c>
      <c r="K500" s="623" t="s">
        <v>4524</v>
      </c>
      <c r="L500" s="19"/>
      <c r="M500" s="13"/>
      <c r="N500" s="249"/>
      <c r="O500" s="356" t="s">
        <v>1048</v>
      </c>
      <c r="P500" s="356" t="s">
        <v>153</v>
      </c>
      <c r="Q500" s="356">
        <v>300</v>
      </c>
      <c r="R500" s="350">
        <v>500000</v>
      </c>
      <c r="S500" s="356">
        <v>300000</v>
      </c>
      <c r="T500" s="356">
        <v>800000</v>
      </c>
      <c r="U500" s="19"/>
      <c r="V500" s="19"/>
      <c r="W500" s="19"/>
      <c r="X500" s="19"/>
      <c r="Y500" s="165">
        <v>0.3</v>
      </c>
      <c r="Z500" s="376">
        <f t="shared" si="81"/>
        <v>240000</v>
      </c>
      <c r="AA500" s="19"/>
      <c r="AB500" s="376">
        <f t="shared" si="75"/>
        <v>480000</v>
      </c>
      <c r="AC500" s="38">
        <f t="shared" si="73"/>
        <v>240000</v>
      </c>
      <c r="AD500" s="19" t="s">
        <v>1746</v>
      </c>
    </row>
    <row r="501" spans="1:30" ht="47.25" x14ac:dyDescent="0.25">
      <c r="A501" s="113">
        <v>498</v>
      </c>
      <c r="B501" s="373">
        <v>44009</v>
      </c>
      <c r="C501" s="358" t="s">
        <v>4525</v>
      </c>
      <c r="D501" s="148"/>
      <c r="E501" s="148"/>
      <c r="F501" s="101" t="s">
        <v>4526</v>
      </c>
      <c r="G501" s="10"/>
      <c r="H501" s="335" t="s">
        <v>273</v>
      </c>
      <c r="I501" s="148" t="s">
        <v>4527</v>
      </c>
      <c r="J501" s="10"/>
      <c r="K501" s="208" t="s">
        <v>4528</v>
      </c>
      <c r="L501" s="19"/>
      <c r="M501" s="13"/>
      <c r="N501" s="249"/>
      <c r="O501" s="507" t="s">
        <v>1048</v>
      </c>
      <c r="P501" s="507" t="s">
        <v>153</v>
      </c>
      <c r="Q501" s="507">
        <v>300</v>
      </c>
      <c r="R501" s="549">
        <v>500000</v>
      </c>
      <c r="S501" s="507">
        <v>300000</v>
      </c>
      <c r="T501" s="507">
        <v>800000</v>
      </c>
      <c r="U501" s="266"/>
      <c r="V501" s="266"/>
      <c r="W501" s="266"/>
      <c r="X501" s="266"/>
      <c r="Y501" s="271">
        <v>0.3</v>
      </c>
      <c r="Z501" s="605">
        <f t="shared" si="81"/>
        <v>240000</v>
      </c>
      <c r="AA501" s="19"/>
      <c r="AB501" s="605">
        <f t="shared" si="75"/>
        <v>480000</v>
      </c>
      <c r="AC501" s="607">
        <f t="shared" si="73"/>
        <v>240000</v>
      </c>
      <c r="AD501" s="19"/>
    </row>
    <row r="502" spans="1:30" s="272" customFormat="1" ht="47.25" x14ac:dyDescent="0.25">
      <c r="A502" s="74">
        <v>499</v>
      </c>
      <c r="B502" s="373">
        <v>44009</v>
      </c>
      <c r="C502" s="358" t="s">
        <v>4529</v>
      </c>
      <c r="D502" s="358"/>
      <c r="E502" s="358"/>
      <c r="F502" s="335" t="s">
        <v>4530</v>
      </c>
      <c r="G502" s="269"/>
      <c r="H502" s="335" t="s">
        <v>1639</v>
      </c>
      <c r="I502" s="358" t="s">
        <v>4531</v>
      </c>
      <c r="J502" s="269" t="s">
        <v>4533</v>
      </c>
      <c r="K502" s="380" t="s">
        <v>4532</v>
      </c>
      <c r="L502" s="266"/>
      <c r="M502" s="278"/>
      <c r="N502" s="439"/>
      <c r="O502" s="507" t="s">
        <v>1484</v>
      </c>
      <c r="P502" s="507" t="s">
        <v>153</v>
      </c>
      <c r="Q502" s="507">
        <v>1000</v>
      </c>
      <c r="R502" s="549">
        <v>500000</v>
      </c>
      <c r="S502" s="507">
        <v>675000</v>
      </c>
      <c r="T502" s="507">
        <f t="shared" ref="T502" si="86">R502+S502</f>
        <v>1175000</v>
      </c>
      <c r="U502" s="266"/>
      <c r="V502" s="266"/>
      <c r="W502" s="266"/>
      <c r="X502" s="266"/>
      <c r="Y502" s="271">
        <v>0.3</v>
      </c>
      <c r="Z502" s="605">
        <f t="shared" si="81"/>
        <v>352500</v>
      </c>
      <c r="AA502" s="266"/>
      <c r="AB502" s="605">
        <f t="shared" si="75"/>
        <v>705000</v>
      </c>
      <c r="AC502" s="607">
        <f t="shared" ref="AC502:AC565" si="87">AB502-Z502</f>
        <v>352500</v>
      </c>
      <c r="AD502" s="266"/>
    </row>
    <row r="503" spans="1:30" ht="47.25" x14ac:dyDescent="0.25">
      <c r="A503" s="311">
        <v>500</v>
      </c>
      <c r="B503" s="22">
        <v>44009</v>
      </c>
      <c r="C503" s="148" t="s">
        <v>4534</v>
      </c>
      <c r="D503" s="148" t="s">
        <v>457</v>
      </c>
      <c r="E503" s="148"/>
      <c r="F503" s="101" t="s">
        <v>4536</v>
      </c>
      <c r="G503" s="10"/>
      <c r="H503" s="101" t="s">
        <v>2269</v>
      </c>
      <c r="I503" s="148" t="s">
        <v>4535</v>
      </c>
      <c r="J503" s="10"/>
      <c r="K503" s="10"/>
      <c r="L503" s="19"/>
      <c r="M503" s="13"/>
      <c r="N503" s="249"/>
      <c r="O503" s="356" t="s">
        <v>1048</v>
      </c>
      <c r="P503" s="356" t="s">
        <v>153</v>
      </c>
      <c r="Q503" s="356">
        <v>300</v>
      </c>
      <c r="R503" s="350">
        <v>500000</v>
      </c>
      <c r="S503" s="356">
        <v>300000</v>
      </c>
      <c r="T503" s="356">
        <v>800000</v>
      </c>
      <c r="U503" s="19"/>
      <c r="V503" s="19"/>
      <c r="W503" s="19"/>
      <c r="X503" s="19"/>
      <c r="Y503" s="165">
        <v>0.3</v>
      </c>
      <c r="Z503" s="376">
        <f t="shared" si="81"/>
        <v>240000</v>
      </c>
      <c r="AA503" s="19"/>
      <c r="AB503" s="376">
        <f t="shared" si="75"/>
        <v>480000</v>
      </c>
      <c r="AC503" s="38">
        <f t="shared" si="87"/>
        <v>240000</v>
      </c>
      <c r="AD503" s="19" t="s">
        <v>783</v>
      </c>
    </row>
    <row r="504" spans="1:30" s="272" customFormat="1" ht="31.5" x14ac:dyDescent="0.25">
      <c r="A504" s="113">
        <v>501</v>
      </c>
      <c r="B504" s="373">
        <v>44009</v>
      </c>
      <c r="C504" s="358" t="s">
        <v>4537</v>
      </c>
      <c r="D504" s="358" t="s">
        <v>457</v>
      </c>
      <c r="E504" s="358"/>
      <c r="F504" s="335" t="s">
        <v>4539</v>
      </c>
      <c r="G504" s="269"/>
      <c r="H504" s="335" t="s">
        <v>273</v>
      </c>
      <c r="I504" s="358" t="s">
        <v>4538</v>
      </c>
      <c r="J504" s="269"/>
      <c r="K504" s="269"/>
      <c r="L504" s="266"/>
      <c r="M504" s="278"/>
      <c r="N504" s="439"/>
      <c r="O504" s="507" t="s">
        <v>1048</v>
      </c>
      <c r="P504" s="507" t="s">
        <v>153</v>
      </c>
      <c r="Q504" s="507">
        <v>300</v>
      </c>
      <c r="R504" s="549">
        <v>500000</v>
      </c>
      <c r="S504" s="507">
        <v>300000</v>
      </c>
      <c r="T504" s="507">
        <v>800000</v>
      </c>
      <c r="U504" s="266"/>
      <c r="V504" s="266"/>
      <c r="W504" s="266"/>
      <c r="X504" s="266"/>
      <c r="Y504" s="271">
        <v>0.3</v>
      </c>
      <c r="Z504" s="605">
        <f t="shared" si="81"/>
        <v>240000</v>
      </c>
      <c r="AA504" s="266"/>
      <c r="AB504" s="605">
        <f t="shared" si="75"/>
        <v>480000</v>
      </c>
      <c r="AC504" s="607">
        <f t="shared" si="87"/>
        <v>240000</v>
      </c>
      <c r="AD504" s="266"/>
    </row>
    <row r="505" spans="1:30" ht="47.25" x14ac:dyDescent="0.25">
      <c r="A505" s="74">
        <v>502</v>
      </c>
      <c r="B505" s="22">
        <v>44009</v>
      </c>
      <c r="C505" s="148" t="s">
        <v>4540</v>
      </c>
      <c r="D505" s="148" t="s">
        <v>457</v>
      </c>
      <c r="E505" s="148"/>
      <c r="F505" s="101" t="s">
        <v>4542</v>
      </c>
      <c r="G505" s="10"/>
      <c r="H505" s="101" t="s">
        <v>168</v>
      </c>
      <c r="I505" s="148" t="s">
        <v>4541</v>
      </c>
      <c r="J505" s="10"/>
      <c r="K505" s="10"/>
      <c r="L505" s="19"/>
      <c r="M505" s="13"/>
      <c r="N505" s="249"/>
      <c r="O505" s="19" t="s">
        <v>299</v>
      </c>
      <c r="P505" s="19" t="s">
        <v>153</v>
      </c>
      <c r="Q505" s="19">
        <v>500</v>
      </c>
      <c r="R505" s="13">
        <v>500000</v>
      </c>
      <c r="S505" s="19">
        <v>425000</v>
      </c>
      <c r="T505" s="19">
        <f t="shared" ref="T505:T506" si="88">R505+S505</f>
        <v>925000</v>
      </c>
      <c r="U505" s="19"/>
      <c r="V505" s="19"/>
      <c r="W505" s="19"/>
      <c r="X505" s="19"/>
      <c r="Y505" s="165">
        <v>0.4</v>
      </c>
      <c r="Z505" s="376">
        <f t="shared" si="81"/>
        <v>370000</v>
      </c>
      <c r="AA505" s="19"/>
      <c r="AB505" s="376">
        <f t="shared" si="75"/>
        <v>555000</v>
      </c>
      <c r="AC505" s="38">
        <f t="shared" si="87"/>
        <v>185000</v>
      </c>
      <c r="AD505" s="19" t="s">
        <v>783</v>
      </c>
    </row>
    <row r="506" spans="1:30" s="272" customFormat="1" ht="47.25" x14ac:dyDescent="0.25">
      <c r="A506" s="311">
        <v>503</v>
      </c>
      <c r="B506" s="373">
        <v>44009</v>
      </c>
      <c r="C506" s="358" t="s">
        <v>4543</v>
      </c>
      <c r="D506" s="358" t="s">
        <v>457</v>
      </c>
      <c r="E506" s="358"/>
      <c r="F506" s="335" t="s">
        <v>4545</v>
      </c>
      <c r="G506" s="269"/>
      <c r="H506" s="335" t="s">
        <v>273</v>
      </c>
      <c r="I506" s="358" t="s">
        <v>4544</v>
      </c>
      <c r="J506" s="269"/>
      <c r="K506" s="269"/>
      <c r="L506" s="266"/>
      <c r="M506" s="278"/>
      <c r="N506" s="439"/>
      <c r="O506" s="507" t="s">
        <v>1484</v>
      </c>
      <c r="P506" s="507" t="s">
        <v>153</v>
      </c>
      <c r="Q506" s="507">
        <v>1000</v>
      </c>
      <c r="R506" s="549">
        <v>500000</v>
      </c>
      <c r="S506" s="507">
        <v>675000</v>
      </c>
      <c r="T506" s="507">
        <f t="shared" si="88"/>
        <v>1175000</v>
      </c>
      <c r="U506" s="266"/>
      <c r="V506" s="266"/>
      <c r="W506" s="266"/>
      <c r="X506" s="266"/>
      <c r="Y506" s="271">
        <v>0.4</v>
      </c>
      <c r="Z506" s="605">
        <f t="shared" si="81"/>
        <v>470000</v>
      </c>
      <c r="AA506" s="266"/>
      <c r="AB506" s="605">
        <f t="shared" ref="AB506:AB569" si="89">T506*0.6</f>
        <v>705000</v>
      </c>
      <c r="AC506" s="607">
        <f t="shared" si="87"/>
        <v>235000</v>
      </c>
      <c r="AD506" s="266"/>
    </row>
    <row r="507" spans="1:30" ht="31.5" x14ac:dyDescent="0.25">
      <c r="A507" s="113">
        <v>504</v>
      </c>
      <c r="B507" s="22">
        <v>44009</v>
      </c>
      <c r="C507" s="148" t="s">
        <v>4546</v>
      </c>
      <c r="D507" s="148" t="s">
        <v>457</v>
      </c>
      <c r="E507" s="148"/>
      <c r="F507" s="101" t="s">
        <v>4548</v>
      </c>
      <c r="G507" s="10"/>
      <c r="H507" s="101" t="s">
        <v>246</v>
      </c>
      <c r="I507" s="148" t="s">
        <v>4547</v>
      </c>
      <c r="J507" s="10"/>
      <c r="K507" s="10"/>
      <c r="L507" s="19"/>
      <c r="M507" s="13"/>
      <c r="N507" s="249"/>
      <c r="O507" s="356" t="s">
        <v>1484</v>
      </c>
      <c r="P507" s="356" t="s">
        <v>153</v>
      </c>
      <c r="Q507" s="356">
        <v>1000</v>
      </c>
      <c r="R507" s="350">
        <v>500000</v>
      </c>
      <c r="S507" s="356">
        <v>675000</v>
      </c>
      <c r="T507" s="356">
        <f t="shared" ref="T507:T508" si="90">R507+S507</f>
        <v>1175000</v>
      </c>
      <c r="U507" s="19"/>
      <c r="V507" s="19"/>
      <c r="W507" s="19"/>
      <c r="X507" s="19"/>
      <c r="Y507" s="165">
        <v>0.4</v>
      </c>
      <c r="Z507" s="376">
        <f t="shared" si="81"/>
        <v>470000</v>
      </c>
      <c r="AA507" s="19"/>
      <c r="AB507" s="376">
        <f t="shared" si="89"/>
        <v>705000</v>
      </c>
      <c r="AC507" s="38">
        <f t="shared" si="87"/>
        <v>235000</v>
      </c>
      <c r="AD507" s="19" t="s">
        <v>4831</v>
      </c>
    </row>
    <row r="508" spans="1:30" ht="31.5" x14ac:dyDescent="0.25">
      <c r="A508" s="74">
        <v>505</v>
      </c>
      <c r="B508" s="22">
        <v>44009</v>
      </c>
      <c r="C508" s="148" t="s">
        <v>4549</v>
      </c>
      <c r="D508" s="148" t="s">
        <v>457</v>
      </c>
      <c r="E508" s="148"/>
      <c r="F508" s="101" t="s">
        <v>4551</v>
      </c>
      <c r="G508" s="10"/>
      <c r="H508" s="101" t="s">
        <v>4564</v>
      </c>
      <c r="I508" s="148" t="s">
        <v>4550</v>
      </c>
      <c r="J508" s="10"/>
      <c r="K508" s="10"/>
      <c r="L508" s="19"/>
      <c r="M508" s="13"/>
      <c r="N508" s="249"/>
      <c r="O508" s="19" t="s">
        <v>299</v>
      </c>
      <c r="P508" s="19" t="s">
        <v>153</v>
      </c>
      <c r="Q508" s="19">
        <v>500</v>
      </c>
      <c r="R508" s="13">
        <v>500000</v>
      </c>
      <c r="S508" s="19">
        <v>425000</v>
      </c>
      <c r="T508" s="19">
        <f t="shared" si="90"/>
        <v>925000</v>
      </c>
      <c r="U508" s="19"/>
      <c r="V508" s="19"/>
      <c r="W508" s="19"/>
      <c r="X508" s="19"/>
      <c r="Y508" s="165">
        <v>0.4</v>
      </c>
      <c r="Z508" s="376">
        <f t="shared" si="81"/>
        <v>370000</v>
      </c>
      <c r="AA508" s="19"/>
      <c r="AB508" s="376">
        <f t="shared" si="89"/>
        <v>555000</v>
      </c>
      <c r="AC508" s="38">
        <f t="shared" si="87"/>
        <v>185000</v>
      </c>
      <c r="AD508" s="19" t="s">
        <v>4831</v>
      </c>
    </row>
    <row r="509" spans="1:30" s="272" customFormat="1" ht="47.25" x14ac:dyDescent="0.25">
      <c r="A509" s="311">
        <v>506</v>
      </c>
      <c r="B509" s="373">
        <v>44009</v>
      </c>
      <c r="C509" s="358" t="s">
        <v>4552</v>
      </c>
      <c r="D509" s="358"/>
      <c r="E509" s="358"/>
      <c r="F509" s="335" t="s">
        <v>4554</v>
      </c>
      <c r="G509" s="269"/>
      <c r="H509" s="335" t="s">
        <v>273</v>
      </c>
      <c r="I509" s="358" t="s">
        <v>4553</v>
      </c>
      <c r="J509" s="269"/>
      <c r="K509" s="269"/>
      <c r="L509" s="266"/>
      <c r="M509" s="278"/>
      <c r="N509" s="439"/>
      <c r="O509" s="507" t="s">
        <v>1048</v>
      </c>
      <c r="P509" s="507" t="s">
        <v>153</v>
      </c>
      <c r="Q509" s="507">
        <v>300</v>
      </c>
      <c r="R509" s="549">
        <v>500000</v>
      </c>
      <c r="S509" s="507">
        <v>300000</v>
      </c>
      <c r="T509" s="507">
        <v>800000</v>
      </c>
      <c r="U509" s="266"/>
      <c r="V509" s="266"/>
      <c r="W509" s="266"/>
      <c r="X509" s="266"/>
      <c r="Y509" s="271">
        <v>0.3</v>
      </c>
      <c r="Z509" s="605">
        <f t="shared" si="81"/>
        <v>240000</v>
      </c>
      <c r="AA509" s="266"/>
      <c r="AB509" s="605">
        <f t="shared" si="89"/>
        <v>480000</v>
      </c>
      <c r="AC509" s="607">
        <f t="shared" si="87"/>
        <v>240000</v>
      </c>
      <c r="AD509" s="266"/>
    </row>
    <row r="510" spans="1:30" s="272" customFormat="1" ht="47.25" x14ac:dyDescent="0.25">
      <c r="A510" s="113">
        <v>507</v>
      </c>
      <c r="B510" s="373">
        <v>44009</v>
      </c>
      <c r="C510" s="358" t="s">
        <v>4555</v>
      </c>
      <c r="D510" s="358"/>
      <c r="E510" s="358"/>
      <c r="F510" s="335" t="s">
        <v>4557</v>
      </c>
      <c r="G510" s="269"/>
      <c r="H510" s="335" t="s">
        <v>273</v>
      </c>
      <c r="I510" s="358" t="s">
        <v>4556</v>
      </c>
      <c r="J510" s="269"/>
      <c r="K510" s="269"/>
      <c r="L510" s="266"/>
      <c r="M510" s="278"/>
      <c r="N510" s="439"/>
      <c r="O510" s="507" t="s">
        <v>1048</v>
      </c>
      <c r="P510" s="507" t="s">
        <v>153</v>
      </c>
      <c r="Q510" s="507">
        <v>300</v>
      </c>
      <c r="R510" s="549">
        <v>500000</v>
      </c>
      <c r="S510" s="507">
        <v>300000</v>
      </c>
      <c r="T510" s="507">
        <v>800000</v>
      </c>
      <c r="U510" s="266"/>
      <c r="V510" s="266"/>
      <c r="W510" s="266"/>
      <c r="X510" s="266"/>
      <c r="Y510" s="271">
        <v>0.3</v>
      </c>
      <c r="Z510" s="605">
        <f t="shared" si="81"/>
        <v>240000</v>
      </c>
      <c r="AA510" s="266"/>
      <c r="AB510" s="605">
        <f t="shared" si="89"/>
        <v>480000</v>
      </c>
      <c r="AC510" s="607">
        <f t="shared" si="87"/>
        <v>240000</v>
      </c>
      <c r="AD510" s="266"/>
    </row>
    <row r="511" spans="1:30" s="272" customFormat="1" ht="47.25" x14ac:dyDescent="0.25">
      <c r="A511" s="74">
        <v>508</v>
      </c>
      <c r="B511" s="373">
        <v>44009</v>
      </c>
      <c r="C511" s="358" t="s">
        <v>4559</v>
      </c>
      <c r="D511" s="358"/>
      <c r="E511" s="358"/>
      <c r="F511" s="335" t="s">
        <v>4558</v>
      </c>
      <c r="G511" s="269"/>
      <c r="H511" s="335" t="s">
        <v>1772</v>
      </c>
      <c r="I511" s="358" t="s">
        <v>4560</v>
      </c>
      <c r="J511" s="269"/>
      <c r="K511" s="269"/>
      <c r="L511" s="266"/>
      <c r="M511" s="278"/>
      <c r="N511" s="439"/>
      <c r="O511" s="507" t="s">
        <v>1048</v>
      </c>
      <c r="P511" s="507" t="s">
        <v>153</v>
      </c>
      <c r="Q511" s="507">
        <v>300</v>
      </c>
      <c r="R511" s="549">
        <v>500000</v>
      </c>
      <c r="S511" s="507">
        <v>300000</v>
      </c>
      <c r="T511" s="507">
        <v>800000</v>
      </c>
      <c r="U511" s="266"/>
      <c r="V511" s="266"/>
      <c r="W511" s="266"/>
      <c r="X511" s="266"/>
      <c r="Y511" s="271">
        <v>0.3</v>
      </c>
      <c r="Z511" s="605">
        <f t="shared" si="81"/>
        <v>240000</v>
      </c>
      <c r="AA511" s="266"/>
      <c r="AB511" s="605">
        <f t="shared" si="89"/>
        <v>480000</v>
      </c>
      <c r="AC511" s="607">
        <f t="shared" si="87"/>
        <v>240000</v>
      </c>
      <c r="AD511" s="266"/>
    </row>
    <row r="512" spans="1:30" s="272" customFormat="1" ht="47.25" x14ac:dyDescent="0.25">
      <c r="A512" s="311">
        <v>509</v>
      </c>
      <c r="B512" s="373">
        <v>44009</v>
      </c>
      <c r="C512" s="358" t="s">
        <v>4561</v>
      </c>
      <c r="D512" s="358"/>
      <c r="E512" s="358"/>
      <c r="F512" s="335" t="s">
        <v>4563</v>
      </c>
      <c r="G512" s="269"/>
      <c r="H512" s="335" t="s">
        <v>168</v>
      </c>
      <c r="I512" s="358" t="s">
        <v>4562</v>
      </c>
      <c r="J512" s="269"/>
      <c r="K512" s="269"/>
      <c r="L512" s="266"/>
      <c r="M512" s="278"/>
      <c r="N512" s="439"/>
      <c r="O512" s="507" t="s">
        <v>1048</v>
      </c>
      <c r="P512" s="507" t="s">
        <v>153</v>
      </c>
      <c r="Q512" s="507">
        <v>300</v>
      </c>
      <c r="R512" s="549">
        <v>500000</v>
      </c>
      <c r="S512" s="507">
        <v>300000</v>
      </c>
      <c r="T512" s="507">
        <v>800000</v>
      </c>
      <c r="U512" s="266"/>
      <c r="V512" s="266"/>
      <c r="W512" s="266"/>
      <c r="X512" s="266"/>
      <c r="Y512" s="271">
        <v>0.3</v>
      </c>
      <c r="Z512" s="605">
        <f t="shared" si="81"/>
        <v>240000</v>
      </c>
      <c r="AA512" s="266"/>
      <c r="AB512" s="605">
        <f t="shared" si="89"/>
        <v>480000</v>
      </c>
      <c r="AC512" s="607">
        <f t="shared" si="87"/>
        <v>240000</v>
      </c>
      <c r="AD512" s="266"/>
    </row>
    <row r="513" spans="1:30" s="272" customFormat="1" ht="63" x14ac:dyDescent="0.25">
      <c r="A513" s="113">
        <v>510</v>
      </c>
      <c r="B513" s="373">
        <v>44009</v>
      </c>
      <c r="C513" s="358" t="s">
        <v>4565</v>
      </c>
      <c r="D513" s="358"/>
      <c r="E513" s="358"/>
      <c r="F513" s="335" t="s">
        <v>4567</v>
      </c>
      <c r="G513" s="269"/>
      <c r="H513" s="335" t="s">
        <v>273</v>
      </c>
      <c r="I513" s="358" t="s">
        <v>4566</v>
      </c>
      <c r="J513" s="269"/>
      <c r="K513" s="269"/>
      <c r="L513" s="266"/>
      <c r="M513" s="278"/>
      <c r="N513" s="439"/>
      <c r="O513" s="507" t="s">
        <v>1048</v>
      </c>
      <c r="P513" s="507" t="s">
        <v>153</v>
      </c>
      <c r="Q513" s="507">
        <v>300</v>
      </c>
      <c r="R513" s="549">
        <v>500000</v>
      </c>
      <c r="S513" s="507">
        <v>300000</v>
      </c>
      <c r="T513" s="507">
        <v>800000</v>
      </c>
      <c r="U513" s="266"/>
      <c r="V513" s="266"/>
      <c r="W513" s="266"/>
      <c r="X513" s="266"/>
      <c r="Y513" s="271">
        <v>0.3</v>
      </c>
      <c r="Z513" s="605">
        <f t="shared" si="81"/>
        <v>240000</v>
      </c>
      <c r="AA513" s="266"/>
      <c r="AB513" s="605">
        <f t="shared" si="89"/>
        <v>480000</v>
      </c>
      <c r="AC513" s="607">
        <f t="shared" si="87"/>
        <v>240000</v>
      </c>
      <c r="AD513" s="266"/>
    </row>
    <row r="514" spans="1:30" ht="47.25" x14ac:dyDescent="0.25">
      <c r="A514" s="74">
        <v>511</v>
      </c>
      <c r="B514" s="22">
        <v>44009</v>
      </c>
      <c r="C514" s="148" t="s">
        <v>4568</v>
      </c>
      <c r="D514" s="148"/>
      <c r="E514" s="148"/>
      <c r="F514" s="101" t="s">
        <v>4570</v>
      </c>
      <c r="G514" s="10"/>
      <c r="H514" s="101" t="s">
        <v>246</v>
      </c>
      <c r="I514" s="148" t="s">
        <v>4569</v>
      </c>
      <c r="J514" s="10" t="s">
        <v>4571</v>
      </c>
      <c r="K514" s="310" t="s">
        <v>4572</v>
      </c>
      <c r="L514" s="19"/>
      <c r="M514" s="13"/>
      <c r="N514" s="249"/>
      <c r="O514" s="356" t="s">
        <v>1048</v>
      </c>
      <c r="P514" s="356" t="s">
        <v>153</v>
      </c>
      <c r="Q514" s="356">
        <v>300</v>
      </c>
      <c r="R514" s="350">
        <v>500000</v>
      </c>
      <c r="S514" s="356">
        <v>300000</v>
      </c>
      <c r="T514" s="356">
        <v>800000</v>
      </c>
      <c r="U514" s="19"/>
      <c r="V514" s="19"/>
      <c r="W514" s="19"/>
      <c r="X514" s="19"/>
      <c r="Y514" s="165">
        <v>0.4</v>
      </c>
      <c r="Z514" s="376">
        <f t="shared" si="81"/>
        <v>320000</v>
      </c>
      <c r="AA514" s="19"/>
      <c r="AB514" s="376">
        <f t="shared" si="89"/>
        <v>480000</v>
      </c>
      <c r="AC514" s="38">
        <f t="shared" si="87"/>
        <v>160000</v>
      </c>
      <c r="AD514" s="19"/>
    </row>
    <row r="515" spans="1:30" ht="47.25" x14ac:dyDescent="0.25">
      <c r="A515" s="311">
        <v>512</v>
      </c>
      <c r="B515" s="22">
        <v>44009</v>
      </c>
      <c r="C515" s="148" t="s">
        <v>4573</v>
      </c>
      <c r="D515" s="148"/>
      <c r="E515" s="148"/>
      <c r="F515" s="101" t="s">
        <v>4574</v>
      </c>
      <c r="G515" s="10"/>
      <c r="H515" s="101" t="s">
        <v>273</v>
      </c>
      <c r="I515" s="148" t="s">
        <v>4575</v>
      </c>
      <c r="J515" s="10"/>
      <c r="K515" s="10"/>
      <c r="L515" s="19"/>
      <c r="M515" s="13"/>
      <c r="N515" s="249"/>
      <c r="O515" s="19" t="s">
        <v>4576</v>
      </c>
      <c r="P515" s="19"/>
      <c r="Q515" s="19"/>
      <c r="R515" s="13"/>
      <c r="S515" s="19"/>
      <c r="T515" s="19"/>
      <c r="U515" s="19"/>
      <c r="V515" s="19"/>
      <c r="W515" s="19"/>
      <c r="X515" s="19"/>
      <c r="Y515" s="19"/>
      <c r="Z515" s="376">
        <f t="shared" si="81"/>
        <v>0</v>
      </c>
      <c r="AA515" s="19"/>
      <c r="AB515" s="376">
        <f t="shared" si="89"/>
        <v>0</v>
      </c>
      <c r="AC515" s="38">
        <f t="shared" si="87"/>
        <v>0</v>
      </c>
      <c r="AD515" s="19"/>
    </row>
    <row r="516" spans="1:30" ht="47.25" x14ac:dyDescent="0.25">
      <c r="A516" s="113">
        <v>513</v>
      </c>
      <c r="B516" s="22">
        <v>44009</v>
      </c>
      <c r="C516" s="148" t="s">
        <v>4577</v>
      </c>
      <c r="D516" s="148" t="s">
        <v>4579</v>
      </c>
      <c r="E516" s="148"/>
      <c r="F516" s="101" t="s">
        <v>4581</v>
      </c>
      <c r="G516" s="10"/>
      <c r="H516" s="101" t="s">
        <v>273</v>
      </c>
      <c r="I516" s="148" t="s">
        <v>4578</v>
      </c>
      <c r="J516" s="10" t="s">
        <v>4580</v>
      </c>
      <c r="K516" s="10"/>
      <c r="L516" s="19"/>
      <c r="M516" s="13"/>
      <c r="N516" s="249"/>
      <c r="O516" s="356" t="s">
        <v>1048</v>
      </c>
      <c r="P516" s="356" t="s">
        <v>153</v>
      </c>
      <c r="Q516" s="356">
        <v>300</v>
      </c>
      <c r="R516" s="350">
        <v>500000</v>
      </c>
      <c r="S516" s="356">
        <v>300000</v>
      </c>
      <c r="T516" s="356">
        <v>800000</v>
      </c>
      <c r="U516" s="19"/>
      <c r="V516" s="19"/>
      <c r="W516" s="19"/>
      <c r="X516" s="19"/>
      <c r="Y516" s="165">
        <v>0.4</v>
      </c>
      <c r="Z516" s="376">
        <f t="shared" si="81"/>
        <v>320000</v>
      </c>
      <c r="AA516" s="19"/>
      <c r="AB516" s="376">
        <f t="shared" si="89"/>
        <v>480000</v>
      </c>
      <c r="AC516" s="38">
        <f t="shared" si="87"/>
        <v>160000</v>
      </c>
      <c r="AD516" s="19" t="s">
        <v>5295</v>
      </c>
    </row>
    <row r="517" spans="1:30" s="272" customFormat="1" ht="47.25" x14ac:dyDescent="0.25">
      <c r="A517" s="74">
        <v>514</v>
      </c>
      <c r="B517" s="373">
        <v>44009</v>
      </c>
      <c r="C517" s="358" t="s">
        <v>4582</v>
      </c>
      <c r="D517" s="358"/>
      <c r="E517" s="358"/>
      <c r="F517" s="335" t="s">
        <v>4584</v>
      </c>
      <c r="G517" s="269"/>
      <c r="H517" s="335" t="s">
        <v>273</v>
      </c>
      <c r="I517" s="358" t="s">
        <v>4583</v>
      </c>
      <c r="J517" s="269"/>
      <c r="K517" s="269"/>
      <c r="L517" s="266"/>
      <c r="M517" s="278"/>
      <c r="N517" s="439"/>
      <c r="O517" s="507" t="s">
        <v>1048</v>
      </c>
      <c r="P517" s="507" t="s">
        <v>153</v>
      </c>
      <c r="Q517" s="507">
        <v>300</v>
      </c>
      <c r="R517" s="549">
        <v>500000</v>
      </c>
      <c r="S517" s="507">
        <v>300000</v>
      </c>
      <c r="T517" s="507">
        <v>800000</v>
      </c>
      <c r="U517" s="266"/>
      <c r="V517" s="266"/>
      <c r="W517" s="266"/>
      <c r="X517" s="266"/>
      <c r="Y517" s="271">
        <v>0.3</v>
      </c>
      <c r="Z517" s="605">
        <f t="shared" si="81"/>
        <v>240000</v>
      </c>
      <c r="AA517" s="266"/>
      <c r="AB517" s="605">
        <f t="shared" si="89"/>
        <v>480000</v>
      </c>
      <c r="AC517" s="607">
        <f t="shared" si="87"/>
        <v>240000</v>
      </c>
      <c r="AD517" s="266"/>
    </row>
    <row r="518" spans="1:30" s="272" customFormat="1" ht="47.25" x14ac:dyDescent="0.25">
      <c r="A518" s="311">
        <v>515</v>
      </c>
      <c r="B518" s="373">
        <v>44009</v>
      </c>
      <c r="C518" s="358" t="s">
        <v>4585</v>
      </c>
      <c r="D518" s="358"/>
      <c r="E518" s="358"/>
      <c r="F518" s="335" t="s">
        <v>4586</v>
      </c>
      <c r="G518" s="269"/>
      <c r="H518" s="335" t="s">
        <v>1639</v>
      </c>
      <c r="I518" s="358" t="s">
        <v>4587</v>
      </c>
      <c r="J518" s="269" t="s">
        <v>4588</v>
      </c>
      <c r="K518" s="380" t="s">
        <v>4589</v>
      </c>
      <c r="L518" s="266"/>
      <c r="M518" s="278"/>
      <c r="N518" s="439"/>
      <c r="O518" s="507" t="s">
        <v>1048</v>
      </c>
      <c r="P518" s="507" t="s">
        <v>153</v>
      </c>
      <c r="Q518" s="507">
        <v>300</v>
      </c>
      <c r="R518" s="549">
        <v>500000</v>
      </c>
      <c r="S518" s="507">
        <v>300000</v>
      </c>
      <c r="T518" s="507">
        <v>800000</v>
      </c>
      <c r="U518" s="266"/>
      <c r="V518" s="266"/>
      <c r="W518" s="266"/>
      <c r="X518" s="266"/>
      <c r="Y518" s="271">
        <v>0.3</v>
      </c>
      <c r="Z518" s="605">
        <f t="shared" si="81"/>
        <v>240000</v>
      </c>
      <c r="AA518" s="266"/>
      <c r="AB518" s="605">
        <f t="shared" si="89"/>
        <v>480000</v>
      </c>
      <c r="AC518" s="607">
        <f t="shared" si="87"/>
        <v>240000</v>
      </c>
      <c r="AD518" s="266"/>
    </row>
    <row r="519" spans="1:30" s="272" customFormat="1" ht="47.25" x14ac:dyDescent="0.25">
      <c r="A519" s="113">
        <v>516</v>
      </c>
      <c r="B519" s="373">
        <v>44009</v>
      </c>
      <c r="C519" s="358" t="s">
        <v>4643</v>
      </c>
      <c r="D519" s="358" t="s">
        <v>309</v>
      </c>
      <c r="E519" s="358"/>
      <c r="F519" s="335" t="s">
        <v>4645</v>
      </c>
      <c r="G519" s="269"/>
      <c r="H519" s="335" t="s">
        <v>273</v>
      </c>
      <c r="I519" s="358" t="s">
        <v>4644</v>
      </c>
      <c r="J519" s="269"/>
      <c r="K519" s="269"/>
      <c r="L519" s="266"/>
      <c r="M519" s="278"/>
      <c r="N519" s="439"/>
      <c r="O519" s="507" t="s">
        <v>1048</v>
      </c>
      <c r="P519" s="507" t="s">
        <v>153</v>
      </c>
      <c r="Q519" s="507">
        <v>300</v>
      </c>
      <c r="R519" s="549">
        <v>500000</v>
      </c>
      <c r="S519" s="507">
        <v>300000</v>
      </c>
      <c r="T519" s="507">
        <v>800000</v>
      </c>
      <c r="U519" s="266"/>
      <c r="V519" s="266"/>
      <c r="W519" s="266"/>
      <c r="X519" s="266"/>
      <c r="Y519" s="271">
        <v>0.35</v>
      </c>
      <c r="Z519" s="605">
        <f t="shared" si="81"/>
        <v>280000</v>
      </c>
      <c r="AA519" s="266"/>
      <c r="AB519" s="605">
        <f t="shared" si="89"/>
        <v>480000</v>
      </c>
      <c r="AC519" s="607">
        <f t="shared" si="87"/>
        <v>200000</v>
      </c>
      <c r="AD519" s="266"/>
    </row>
    <row r="520" spans="1:30" ht="47.25" x14ac:dyDescent="0.25">
      <c r="A520" s="74">
        <v>517</v>
      </c>
      <c r="B520" s="22">
        <v>44012</v>
      </c>
      <c r="C520" s="148" t="s">
        <v>4646</v>
      </c>
      <c r="D520" s="148" t="s">
        <v>562</v>
      </c>
      <c r="E520" s="148"/>
      <c r="F520" s="101" t="s">
        <v>4647</v>
      </c>
      <c r="G520" s="10"/>
      <c r="H520" s="101" t="s">
        <v>2269</v>
      </c>
      <c r="I520" s="148" t="s">
        <v>4648</v>
      </c>
      <c r="J520" s="10" t="s">
        <v>4598</v>
      </c>
      <c r="K520" s="310" t="s">
        <v>4649</v>
      </c>
      <c r="L520" s="19"/>
      <c r="M520" s="13"/>
      <c r="N520" s="249"/>
      <c r="O520" s="356" t="s">
        <v>1048</v>
      </c>
      <c r="P520" s="356" t="s">
        <v>153</v>
      </c>
      <c r="Q520" s="356">
        <v>300</v>
      </c>
      <c r="R520" s="350">
        <v>500000</v>
      </c>
      <c r="S520" s="356">
        <v>300000</v>
      </c>
      <c r="T520" s="356">
        <v>800000</v>
      </c>
      <c r="U520" s="19"/>
      <c r="V520" s="19"/>
      <c r="W520" s="19"/>
      <c r="X520" s="19"/>
      <c r="Y520" s="165">
        <v>0.4</v>
      </c>
      <c r="Z520" s="376">
        <f t="shared" si="81"/>
        <v>320000</v>
      </c>
      <c r="AA520" s="19"/>
      <c r="AB520" s="376">
        <f t="shared" si="89"/>
        <v>480000</v>
      </c>
      <c r="AC520" s="38">
        <f t="shared" si="87"/>
        <v>160000</v>
      </c>
      <c r="AD520" s="19" t="s">
        <v>4832</v>
      </c>
    </row>
    <row r="521" spans="1:30" s="272" customFormat="1" ht="47.25" x14ac:dyDescent="0.25">
      <c r="A521" s="311">
        <v>518</v>
      </c>
      <c r="B521" s="373">
        <v>44012</v>
      </c>
      <c r="C521" s="358" t="s">
        <v>4650</v>
      </c>
      <c r="D521" s="358" t="s">
        <v>474</v>
      </c>
      <c r="E521" s="358"/>
      <c r="F521" s="335" t="s">
        <v>4652</v>
      </c>
      <c r="G521" s="269"/>
      <c r="H521" s="335" t="s">
        <v>168</v>
      </c>
      <c r="I521" s="358" t="s">
        <v>4651</v>
      </c>
      <c r="J521" s="269"/>
      <c r="K521" s="269"/>
      <c r="L521" s="266"/>
      <c r="M521" s="278"/>
      <c r="N521" s="439"/>
      <c r="O521" s="507" t="s">
        <v>1048</v>
      </c>
      <c r="P521" s="507" t="s">
        <v>153</v>
      </c>
      <c r="Q521" s="507">
        <v>300</v>
      </c>
      <c r="R521" s="549">
        <v>500000</v>
      </c>
      <c r="S521" s="507">
        <v>300000</v>
      </c>
      <c r="T521" s="507">
        <v>800000</v>
      </c>
      <c r="U521" s="266"/>
      <c r="V521" s="266"/>
      <c r="W521" s="266"/>
      <c r="X521" s="266"/>
      <c r="Y521" s="271">
        <v>0.4</v>
      </c>
      <c r="Z521" s="605">
        <f t="shared" si="81"/>
        <v>320000</v>
      </c>
      <c r="AA521" s="266"/>
      <c r="AB521" s="605">
        <f t="shared" si="89"/>
        <v>480000</v>
      </c>
      <c r="AC521" s="607">
        <f t="shared" si="87"/>
        <v>160000</v>
      </c>
      <c r="AD521" s="266"/>
    </row>
    <row r="522" spans="1:30" ht="47.25" x14ac:dyDescent="0.25">
      <c r="A522" s="113">
        <v>519</v>
      </c>
      <c r="B522" s="22">
        <v>44012</v>
      </c>
      <c r="C522" s="148" t="s">
        <v>4653</v>
      </c>
      <c r="D522" s="148" t="s">
        <v>4252</v>
      </c>
      <c r="E522" s="148"/>
      <c r="F522" s="101" t="s">
        <v>4655</v>
      </c>
      <c r="G522" s="10"/>
      <c r="H522" s="101" t="s">
        <v>273</v>
      </c>
      <c r="I522" s="148" t="s">
        <v>4654</v>
      </c>
      <c r="J522" s="10"/>
      <c r="K522" s="310" t="s">
        <v>4656</v>
      </c>
      <c r="L522" s="19"/>
      <c r="M522" s="13"/>
      <c r="N522" s="249"/>
      <c r="O522" s="356" t="s">
        <v>1048</v>
      </c>
      <c r="P522" s="356" t="s">
        <v>153</v>
      </c>
      <c r="Q522" s="356">
        <v>300</v>
      </c>
      <c r="R522" s="350">
        <v>500000</v>
      </c>
      <c r="S522" s="356">
        <v>300000</v>
      </c>
      <c r="T522" s="356">
        <v>800000</v>
      </c>
      <c r="U522" s="19"/>
      <c r="V522" s="19"/>
      <c r="W522" s="19"/>
      <c r="X522" s="19"/>
      <c r="Y522" s="165">
        <v>0.35</v>
      </c>
      <c r="Z522" s="376">
        <f t="shared" si="81"/>
        <v>280000</v>
      </c>
      <c r="AA522" s="19"/>
      <c r="AB522" s="376">
        <f t="shared" si="89"/>
        <v>480000</v>
      </c>
      <c r="AC522" s="38">
        <f t="shared" si="87"/>
        <v>200000</v>
      </c>
      <c r="AD522" s="19" t="s">
        <v>4833</v>
      </c>
    </row>
    <row r="523" spans="1:30" s="272" customFormat="1" ht="47.25" x14ac:dyDescent="0.25">
      <c r="A523" s="74">
        <v>520</v>
      </c>
      <c r="B523" s="373">
        <v>44012</v>
      </c>
      <c r="C523" s="358" t="s">
        <v>4657</v>
      </c>
      <c r="D523" s="358"/>
      <c r="E523" s="358"/>
      <c r="F523" s="335" t="s">
        <v>4659</v>
      </c>
      <c r="G523" s="269"/>
      <c r="H523" s="335" t="s">
        <v>273</v>
      </c>
      <c r="I523" s="358" t="s">
        <v>4658</v>
      </c>
      <c r="J523" s="269"/>
      <c r="K523" s="269"/>
      <c r="L523" s="266"/>
      <c r="M523" s="278"/>
      <c r="N523" s="439"/>
      <c r="O523" s="507" t="s">
        <v>1048</v>
      </c>
      <c r="P523" s="507" t="s">
        <v>153</v>
      </c>
      <c r="Q523" s="507">
        <v>300</v>
      </c>
      <c r="R523" s="549">
        <v>500000</v>
      </c>
      <c r="S523" s="507">
        <v>300000</v>
      </c>
      <c r="T523" s="507">
        <v>800000</v>
      </c>
      <c r="U523" s="266"/>
      <c r="V523" s="266"/>
      <c r="W523" s="266"/>
      <c r="X523" s="266"/>
      <c r="Y523" s="271">
        <v>0.35</v>
      </c>
      <c r="Z523" s="605">
        <f t="shared" si="81"/>
        <v>280000</v>
      </c>
      <c r="AA523" s="266"/>
      <c r="AB523" s="605">
        <f t="shared" si="89"/>
        <v>480000</v>
      </c>
      <c r="AC523" s="607">
        <f t="shared" si="87"/>
        <v>200000</v>
      </c>
      <c r="AD523" s="266"/>
    </row>
    <row r="524" spans="1:30" s="272" customFormat="1" ht="47.25" x14ac:dyDescent="0.25">
      <c r="A524" s="311">
        <v>521</v>
      </c>
      <c r="B524" s="373">
        <v>44012</v>
      </c>
      <c r="C524" s="358" t="s">
        <v>4001</v>
      </c>
      <c r="D524" s="358" t="s">
        <v>309</v>
      </c>
      <c r="E524" s="358"/>
      <c r="F524" s="335" t="s">
        <v>4660</v>
      </c>
      <c r="G524" s="269"/>
      <c r="H524" s="335" t="s">
        <v>322</v>
      </c>
      <c r="I524" s="358" t="s">
        <v>4003</v>
      </c>
      <c r="J524" s="269"/>
      <c r="K524" s="269"/>
      <c r="L524" s="266"/>
      <c r="M524" s="278"/>
      <c r="N524" s="439"/>
      <c r="O524" s="507" t="s">
        <v>1048</v>
      </c>
      <c r="P524" s="507" t="s">
        <v>153</v>
      </c>
      <c r="Q524" s="507">
        <v>300</v>
      </c>
      <c r="R524" s="549">
        <v>500000</v>
      </c>
      <c r="S524" s="507">
        <v>300000</v>
      </c>
      <c r="T524" s="507">
        <v>800000</v>
      </c>
      <c r="U524" s="266"/>
      <c r="V524" s="266"/>
      <c r="W524" s="266"/>
      <c r="X524" s="266"/>
      <c r="Y524" s="271">
        <v>0.35</v>
      </c>
      <c r="Z524" s="605">
        <f t="shared" si="81"/>
        <v>280000</v>
      </c>
      <c r="AA524" s="266"/>
      <c r="AB524" s="605">
        <f t="shared" si="89"/>
        <v>480000</v>
      </c>
      <c r="AC524" s="607">
        <f t="shared" si="87"/>
        <v>200000</v>
      </c>
      <c r="AD524" s="266"/>
    </row>
    <row r="525" spans="1:30" s="272" customFormat="1" ht="63" x14ac:dyDescent="0.25">
      <c r="A525" s="113">
        <v>522</v>
      </c>
      <c r="B525" s="373">
        <v>44012</v>
      </c>
      <c r="C525" s="358" t="s">
        <v>4661</v>
      </c>
      <c r="D525" s="358" t="s">
        <v>309</v>
      </c>
      <c r="E525" s="358"/>
      <c r="F525" s="335" t="s">
        <v>4663</v>
      </c>
      <c r="G525" s="269"/>
      <c r="H525" s="335" t="s">
        <v>273</v>
      </c>
      <c r="I525" s="358" t="s">
        <v>4662</v>
      </c>
      <c r="J525" s="269"/>
      <c r="K525" s="269"/>
      <c r="L525" s="266"/>
      <c r="M525" s="278"/>
      <c r="N525" s="439"/>
      <c r="O525" s="507" t="s">
        <v>1048</v>
      </c>
      <c r="P525" s="507" t="s">
        <v>94</v>
      </c>
      <c r="Q525" s="507">
        <v>300</v>
      </c>
      <c r="R525" s="549"/>
      <c r="S525" s="507">
        <v>300000</v>
      </c>
      <c r="T525" s="627">
        <f>R525+S525</f>
        <v>300000</v>
      </c>
      <c r="U525" s="266"/>
      <c r="V525" s="266"/>
      <c r="W525" s="266"/>
      <c r="X525" s="266"/>
      <c r="Y525" s="271">
        <v>0.35</v>
      </c>
      <c r="Z525" s="605">
        <f t="shared" si="81"/>
        <v>105000</v>
      </c>
      <c r="AA525" s="266"/>
      <c r="AB525" s="605">
        <f t="shared" si="89"/>
        <v>180000</v>
      </c>
      <c r="AC525" s="607">
        <f t="shared" si="87"/>
        <v>75000</v>
      </c>
      <c r="AD525" s="266"/>
    </row>
    <row r="526" spans="1:30" ht="47.25" x14ac:dyDescent="0.25">
      <c r="A526" s="74">
        <v>523</v>
      </c>
      <c r="B526" s="22">
        <v>44012</v>
      </c>
      <c r="C526" s="148" t="s">
        <v>4664</v>
      </c>
      <c r="D526" s="148"/>
      <c r="E526" s="148"/>
      <c r="F526" s="101" t="s">
        <v>4665</v>
      </c>
      <c r="G526" s="10"/>
      <c r="H526" s="101" t="s">
        <v>273</v>
      </c>
      <c r="I526" s="148" t="s">
        <v>4666</v>
      </c>
      <c r="J526" s="10">
        <v>917358768</v>
      </c>
      <c r="K526" s="310" t="s">
        <v>4667</v>
      </c>
      <c r="L526" s="19"/>
      <c r="M526" s="13"/>
      <c r="N526" s="249"/>
      <c r="O526" s="356" t="s">
        <v>1048</v>
      </c>
      <c r="P526" s="356" t="s">
        <v>153</v>
      </c>
      <c r="Q526" s="356">
        <v>300</v>
      </c>
      <c r="R526" s="350">
        <v>500000</v>
      </c>
      <c r="S526" s="356">
        <v>300000</v>
      </c>
      <c r="T526" s="356">
        <v>800000</v>
      </c>
      <c r="U526" s="19"/>
      <c r="V526" s="19"/>
      <c r="W526" s="19"/>
      <c r="X526" s="19"/>
      <c r="Y526" s="165">
        <v>0.35</v>
      </c>
      <c r="Z526" s="376">
        <f t="shared" si="81"/>
        <v>280000</v>
      </c>
      <c r="AA526" s="19"/>
      <c r="AB526" s="376">
        <f t="shared" si="89"/>
        <v>480000</v>
      </c>
      <c r="AC526" s="38">
        <f t="shared" si="87"/>
        <v>200000</v>
      </c>
      <c r="AD526" s="19" t="s">
        <v>783</v>
      </c>
    </row>
    <row r="527" spans="1:30" s="272" customFormat="1" ht="47.25" x14ac:dyDescent="0.25">
      <c r="A527" s="311">
        <v>524</v>
      </c>
      <c r="B527" s="373">
        <v>44012</v>
      </c>
      <c r="C527" s="358" t="s">
        <v>4668</v>
      </c>
      <c r="D527" s="358" t="s">
        <v>3469</v>
      </c>
      <c r="E527" s="358"/>
      <c r="F527" s="335" t="s">
        <v>4669</v>
      </c>
      <c r="G527" s="269"/>
      <c r="H527" s="335" t="s">
        <v>2269</v>
      </c>
      <c r="I527" s="358" t="s">
        <v>4670</v>
      </c>
      <c r="J527" s="269"/>
      <c r="K527" s="269"/>
      <c r="L527" s="266"/>
      <c r="M527" s="278"/>
      <c r="N527" s="439"/>
      <c r="O527" s="507" t="s">
        <v>1484</v>
      </c>
      <c r="P527" s="507" t="s">
        <v>153</v>
      </c>
      <c r="Q527" s="507">
        <v>1000</v>
      </c>
      <c r="R527" s="549">
        <v>500000</v>
      </c>
      <c r="S527" s="507">
        <v>675000</v>
      </c>
      <c r="T527" s="507">
        <f t="shared" ref="T527" si="91">R527+S527</f>
        <v>1175000</v>
      </c>
      <c r="U527" s="266"/>
      <c r="V527" s="266"/>
      <c r="W527" s="266"/>
      <c r="X527" s="266"/>
      <c r="Y527" s="271">
        <v>0.4</v>
      </c>
      <c r="Z527" s="605">
        <f t="shared" si="81"/>
        <v>470000</v>
      </c>
      <c r="AA527" s="266"/>
      <c r="AB527" s="605">
        <f t="shared" si="89"/>
        <v>705000</v>
      </c>
      <c r="AC527" s="607">
        <f t="shared" si="87"/>
        <v>235000</v>
      </c>
      <c r="AD527" s="266"/>
    </row>
    <row r="528" spans="1:30" ht="47.25" x14ac:dyDescent="0.25">
      <c r="A528" s="113">
        <v>525</v>
      </c>
      <c r="B528" s="22">
        <v>44012</v>
      </c>
      <c r="C528" s="148" t="s">
        <v>4671</v>
      </c>
      <c r="D528" s="148"/>
      <c r="E528" s="148"/>
      <c r="F528" s="101" t="s">
        <v>4673</v>
      </c>
      <c r="G528" s="10"/>
      <c r="H528" s="101" t="s">
        <v>273</v>
      </c>
      <c r="I528" s="148" t="s">
        <v>4672</v>
      </c>
      <c r="J528" s="10">
        <v>913050451</v>
      </c>
      <c r="K528" s="310" t="s">
        <v>5294</v>
      </c>
      <c r="L528" s="19"/>
      <c r="M528" s="13"/>
      <c r="N528" s="249"/>
      <c r="O528" s="356" t="s">
        <v>1048</v>
      </c>
      <c r="P528" s="356" t="s">
        <v>153</v>
      </c>
      <c r="Q528" s="356">
        <v>300</v>
      </c>
      <c r="R528" s="350">
        <v>500000</v>
      </c>
      <c r="S528" s="356">
        <v>300000</v>
      </c>
      <c r="T528" s="356">
        <v>800000</v>
      </c>
      <c r="U528" s="19"/>
      <c r="V528" s="19"/>
      <c r="W528" s="19"/>
      <c r="X528" s="19"/>
      <c r="Y528" s="165">
        <v>0.35</v>
      </c>
      <c r="Z528" s="376">
        <f t="shared" si="81"/>
        <v>280000</v>
      </c>
      <c r="AA528" s="19"/>
      <c r="AB528" s="376">
        <f t="shared" si="89"/>
        <v>480000</v>
      </c>
      <c r="AC528" s="38">
        <f t="shared" si="87"/>
        <v>200000</v>
      </c>
      <c r="AD528" s="19" t="s">
        <v>783</v>
      </c>
    </row>
    <row r="529" spans="1:30" s="217" customFormat="1" ht="63" x14ac:dyDescent="0.25">
      <c r="A529" s="74">
        <v>526</v>
      </c>
      <c r="B529" s="239">
        <v>44013</v>
      </c>
      <c r="C529" s="242" t="s">
        <v>4682</v>
      </c>
      <c r="D529" s="242"/>
      <c r="E529" s="242"/>
      <c r="F529" s="241" t="s">
        <v>4684</v>
      </c>
      <c r="G529" s="220"/>
      <c r="H529" s="244" t="s">
        <v>1177</v>
      </c>
      <c r="I529" s="242" t="s">
        <v>4683</v>
      </c>
      <c r="J529" s="220"/>
      <c r="K529" s="220"/>
      <c r="L529" s="220"/>
      <c r="M529" s="214"/>
      <c r="N529" s="399"/>
      <c r="O529" s="220" t="s">
        <v>4576</v>
      </c>
      <c r="P529" s="220"/>
      <c r="Q529" s="220"/>
      <c r="R529" s="214"/>
      <c r="S529" s="220"/>
      <c r="T529" s="220"/>
      <c r="U529" s="220"/>
      <c r="V529" s="220"/>
      <c r="W529" s="220"/>
      <c r="X529" s="220"/>
      <c r="Y529" s="220"/>
      <c r="Z529" s="376">
        <f t="shared" si="81"/>
        <v>0</v>
      </c>
      <c r="AA529" s="220"/>
      <c r="AB529" s="376">
        <f t="shared" si="89"/>
        <v>0</v>
      </c>
      <c r="AC529" s="376">
        <f t="shared" si="87"/>
        <v>0</v>
      </c>
      <c r="AD529" s="220"/>
    </row>
    <row r="530" spans="1:30" ht="47.25" x14ac:dyDescent="0.25">
      <c r="A530" s="311">
        <v>527</v>
      </c>
      <c r="B530" s="22">
        <v>44013</v>
      </c>
      <c r="C530" s="148" t="s">
        <v>4685</v>
      </c>
      <c r="D530" s="148"/>
      <c r="E530" s="148"/>
      <c r="F530" s="101" t="s">
        <v>4687</v>
      </c>
      <c r="G530" s="10"/>
      <c r="H530" s="101" t="s">
        <v>273</v>
      </c>
      <c r="I530" s="148" t="s">
        <v>4686</v>
      </c>
      <c r="J530" s="10"/>
      <c r="K530" s="10"/>
      <c r="L530" s="19"/>
      <c r="M530" s="13"/>
      <c r="N530" s="249"/>
      <c r="O530" s="19" t="s">
        <v>4576</v>
      </c>
      <c r="P530" s="19"/>
      <c r="Q530" s="19"/>
      <c r="R530" s="13"/>
      <c r="S530" s="19"/>
      <c r="T530" s="19"/>
      <c r="U530" s="19"/>
      <c r="V530" s="19"/>
      <c r="W530" s="19"/>
      <c r="X530" s="19"/>
      <c r="Y530" s="19"/>
      <c r="Z530" s="605">
        <f t="shared" si="81"/>
        <v>0</v>
      </c>
      <c r="AA530" s="19"/>
      <c r="AB530" s="605">
        <f t="shared" si="89"/>
        <v>0</v>
      </c>
      <c r="AC530" s="607">
        <f t="shared" si="87"/>
        <v>0</v>
      </c>
      <c r="AD530" s="19"/>
    </row>
    <row r="531" spans="1:30" s="272" customFormat="1" ht="63" x14ac:dyDescent="0.25">
      <c r="A531" s="113">
        <v>528</v>
      </c>
      <c r="B531" s="373">
        <v>44013</v>
      </c>
      <c r="C531" s="358" t="s">
        <v>4679</v>
      </c>
      <c r="D531" s="358" t="s">
        <v>309</v>
      </c>
      <c r="E531" s="358"/>
      <c r="F531" s="335" t="s">
        <v>4688</v>
      </c>
      <c r="G531" s="269"/>
      <c r="H531" s="335" t="s">
        <v>273</v>
      </c>
      <c r="I531" s="358" t="s">
        <v>4680</v>
      </c>
      <c r="J531" s="269"/>
      <c r="K531" s="269"/>
      <c r="L531" s="266"/>
      <c r="M531" s="278"/>
      <c r="N531" s="439"/>
      <c r="O531" s="507" t="s">
        <v>1048</v>
      </c>
      <c r="P531" s="507" t="s">
        <v>153</v>
      </c>
      <c r="Q531" s="507">
        <v>300</v>
      </c>
      <c r="R531" s="549">
        <v>500000</v>
      </c>
      <c r="S531" s="507">
        <v>300000</v>
      </c>
      <c r="T531" s="507">
        <v>800000</v>
      </c>
      <c r="U531" s="266"/>
      <c r="V531" s="266"/>
      <c r="W531" s="266"/>
      <c r="X531" s="266"/>
      <c r="Y531" s="271">
        <v>0.35</v>
      </c>
      <c r="Z531" s="605">
        <f t="shared" si="81"/>
        <v>280000</v>
      </c>
      <c r="AA531" s="266"/>
      <c r="AB531" s="605">
        <f t="shared" si="89"/>
        <v>480000</v>
      </c>
      <c r="AC531" s="607">
        <f t="shared" si="87"/>
        <v>200000</v>
      </c>
      <c r="AD531" s="266"/>
    </row>
    <row r="532" spans="1:30" s="272" customFormat="1" ht="47.25" x14ac:dyDescent="0.25">
      <c r="A532" s="74">
        <v>529</v>
      </c>
      <c r="B532" s="373">
        <v>44013</v>
      </c>
      <c r="C532" s="358" t="s">
        <v>4642</v>
      </c>
      <c r="D532" s="358" t="s">
        <v>309</v>
      </c>
      <c r="E532" s="358"/>
      <c r="F532" s="335" t="s">
        <v>4689</v>
      </c>
      <c r="G532" s="269"/>
      <c r="H532" s="335" t="s">
        <v>345</v>
      </c>
      <c r="I532" s="358" t="s">
        <v>4678</v>
      </c>
      <c r="J532" s="269"/>
      <c r="K532" s="269"/>
      <c r="L532" s="266"/>
      <c r="M532" s="278"/>
      <c r="N532" s="439"/>
      <c r="O532" s="507" t="s">
        <v>1048</v>
      </c>
      <c r="P532" s="507" t="s">
        <v>153</v>
      </c>
      <c r="Q532" s="507">
        <v>300</v>
      </c>
      <c r="R532" s="549">
        <v>500000</v>
      </c>
      <c r="S532" s="507">
        <v>300000</v>
      </c>
      <c r="T532" s="507">
        <v>800000</v>
      </c>
      <c r="U532" s="266"/>
      <c r="V532" s="266"/>
      <c r="W532" s="266"/>
      <c r="X532" s="266"/>
      <c r="Y532" s="271">
        <v>0.35</v>
      </c>
      <c r="Z532" s="605">
        <f t="shared" si="81"/>
        <v>280000</v>
      </c>
      <c r="AA532" s="266"/>
      <c r="AB532" s="605">
        <f t="shared" si="89"/>
        <v>480000</v>
      </c>
      <c r="AC532" s="607">
        <f t="shared" si="87"/>
        <v>200000</v>
      </c>
      <c r="AD532" s="266"/>
    </row>
    <row r="533" spans="1:30" s="272" customFormat="1" ht="47.25" x14ac:dyDescent="0.25">
      <c r="A533" s="311">
        <v>530</v>
      </c>
      <c r="B533" s="373">
        <v>44013</v>
      </c>
      <c r="C533" s="358" t="s">
        <v>4691</v>
      </c>
      <c r="D533" s="358" t="s">
        <v>309</v>
      </c>
      <c r="E533" s="358"/>
      <c r="F533" s="335" t="s">
        <v>4690</v>
      </c>
      <c r="G533" s="269"/>
      <c r="H533" s="335" t="s">
        <v>273</v>
      </c>
      <c r="I533" s="358" t="s">
        <v>4692</v>
      </c>
      <c r="J533" s="269"/>
      <c r="K533" s="269"/>
      <c r="L533" s="266"/>
      <c r="M533" s="278"/>
      <c r="N533" s="439"/>
      <c r="O533" s="507" t="s">
        <v>1048</v>
      </c>
      <c r="P533" s="507" t="s">
        <v>153</v>
      </c>
      <c r="Q533" s="507">
        <v>300</v>
      </c>
      <c r="R533" s="549">
        <v>500000</v>
      </c>
      <c r="S533" s="507">
        <v>300000</v>
      </c>
      <c r="T533" s="507">
        <v>800000</v>
      </c>
      <c r="U533" s="266"/>
      <c r="V533" s="266"/>
      <c r="W533" s="266"/>
      <c r="X533" s="266"/>
      <c r="Y533" s="271">
        <v>0.35</v>
      </c>
      <c r="Z533" s="605">
        <f t="shared" si="81"/>
        <v>280000</v>
      </c>
      <c r="AA533" s="266"/>
      <c r="AB533" s="605">
        <f t="shared" si="89"/>
        <v>480000</v>
      </c>
      <c r="AC533" s="607">
        <f t="shared" si="87"/>
        <v>200000</v>
      </c>
      <c r="AD533" s="266"/>
    </row>
    <row r="534" spans="1:30" s="272" customFormat="1" ht="47.25" x14ac:dyDescent="0.25">
      <c r="A534" s="113">
        <v>531</v>
      </c>
      <c r="B534" s="373">
        <v>44013</v>
      </c>
      <c r="C534" s="358" t="s">
        <v>4693</v>
      </c>
      <c r="D534" s="358" t="s">
        <v>309</v>
      </c>
      <c r="E534" s="358"/>
      <c r="F534" s="335" t="s">
        <v>4695</v>
      </c>
      <c r="G534" s="269"/>
      <c r="H534" s="335" t="s">
        <v>273</v>
      </c>
      <c r="I534" s="358" t="s">
        <v>4694</v>
      </c>
      <c r="J534" s="269"/>
      <c r="K534" s="269"/>
      <c r="L534" s="266"/>
      <c r="M534" s="278"/>
      <c r="N534" s="439"/>
      <c r="O534" s="507" t="s">
        <v>1048</v>
      </c>
      <c r="P534" s="507" t="s">
        <v>153</v>
      </c>
      <c r="Q534" s="507">
        <v>300</v>
      </c>
      <c r="R534" s="549">
        <v>500000</v>
      </c>
      <c r="S534" s="507">
        <v>300000</v>
      </c>
      <c r="T534" s="507">
        <v>800000</v>
      </c>
      <c r="U534" s="266"/>
      <c r="V534" s="266"/>
      <c r="W534" s="266"/>
      <c r="X534" s="266"/>
      <c r="Y534" s="271">
        <v>0.35</v>
      </c>
      <c r="Z534" s="605">
        <f t="shared" si="81"/>
        <v>280000</v>
      </c>
      <c r="AA534" s="266"/>
      <c r="AB534" s="605">
        <f t="shared" si="89"/>
        <v>480000</v>
      </c>
      <c r="AC534" s="607">
        <f t="shared" si="87"/>
        <v>200000</v>
      </c>
      <c r="AD534" s="266"/>
    </row>
    <row r="535" spans="1:30" ht="63" x14ac:dyDescent="0.25">
      <c r="A535" s="74">
        <v>532</v>
      </c>
      <c r="B535" s="22">
        <v>44013</v>
      </c>
      <c r="C535" s="148" t="s">
        <v>4682</v>
      </c>
      <c r="D535" s="148"/>
      <c r="E535" s="148"/>
      <c r="F535" s="101" t="s">
        <v>4684</v>
      </c>
      <c r="G535" s="10"/>
      <c r="H535" s="101" t="s">
        <v>1177</v>
      </c>
      <c r="I535" s="148" t="s">
        <v>4683</v>
      </c>
      <c r="J535" s="10"/>
      <c r="K535" s="10"/>
      <c r="L535" s="19"/>
      <c r="M535" s="13"/>
      <c r="N535" s="249"/>
      <c r="O535" s="19" t="s">
        <v>4483</v>
      </c>
      <c r="P535" s="19"/>
      <c r="Q535" s="19"/>
      <c r="R535" s="13"/>
      <c r="S535" s="19"/>
      <c r="T535" s="19"/>
      <c r="U535" s="19"/>
      <c r="V535" s="19"/>
      <c r="W535" s="19"/>
      <c r="X535" s="19"/>
      <c r="Y535" s="19"/>
      <c r="Z535" s="605">
        <f t="shared" si="81"/>
        <v>0</v>
      </c>
      <c r="AA535" s="19"/>
      <c r="AB535" s="605">
        <f t="shared" si="89"/>
        <v>0</v>
      </c>
      <c r="AC535" s="607">
        <f t="shared" si="87"/>
        <v>0</v>
      </c>
      <c r="AD535" s="19"/>
    </row>
    <row r="536" spans="1:30" ht="63" x14ac:dyDescent="0.25">
      <c r="A536" s="311">
        <v>533</v>
      </c>
      <c r="B536" s="22">
        <v>44013</v>
      </c>
      <c r="C536" s="148" t="s">
        <v>4696</v>
      </c>
      <c r="D536" s="148"/>
      <c r="E536" s="148"/>
      <c r="F536" s="101" t="s">
        <v>4698</v>
      </c>
      <c r="G536" s="10"/>
      <c r="H536" s="101" t="s">
        <v>273</v>
      </c>
      <c r="I536" s="148" t="s">
        <v>4697</v>
      </c>
      <c r="J536" s="10"/>
      <c r="K536" s="10"/>
      <c r="L536" s="19"/>
      <c r="M536" s="13"/>
      <c r="N536" s="249"/>
      <c r="O536" s="19" t="s">
        <v>4483</v>
      </c>
      <c r="P536" s="19"/>
      <c r="Q536" s="19"/>
      <c r="R536" s="13"/>
      <c r="S536" s="19"/>
      <c r="T536" s="19"/>
      <c r="U536" s="19"/>
      <c r="V536" s="19"/>
      <c r="W536" s="19"/>
      <c r="X536" s="19"/>
      <c r="Y536" s="19"/>
      <c r="Z536" s="605">
        <f t="shared" si="81"/>
        <v>0</v>
      </c>
      <c r="AA536" s="19"/>
      <c r="AB536" s="605">
        <f t="shared" si="89"/>
        <v>0</v>
      </c>
      <c r="AC536" s="607">
        <f t="shared" si="87"/>
        <v>0</v>
      </c>
      <c r="AD536" s="19"/>
    </row>
    <row r="537" spans="1:30" s="272" customFormat="1" ht="47.25" x14ac:dyDescent="0.25">
      <c r="A537" s="113">
        <v>534</v>
      </c>
      <c r="B537" s="373">
        <v>44013</v>
      </c>
      <c r="C537" s="358" t="s">
        <v>4699</v>
      </c>
      <c r="D537" s="358"/>
      <c r="E537" s="358"/>
      <c r="F537" s="335" t="s">
        <v>4702</v>
      </c>
      <c r="G537" s="269"/>
      <c r="H537" s="335" t="s">
        <v>273</v>
      </c>
      <c r="I537" s="358" t="s">
        <v>4700</v>
      </c>
      <c r="J537" s="269"/>
      <c r="K537" s="269"/>
      <c r="L537" s="266"/>
      <c r="M537" s="278"/>
      <c r="N537" s="439"/>
      <c r="O537" s="507" t="s">
        <v>1048</v>
      </c>
      <c r="P537" s="507" t="s">
        <v>153</v>
      </c>
      <c r="Q537" s="507">
        <v>300</v>
      </c>
      <c r="R537" s="549">
        <v>500000</v>
      </c>
      <c r="S537" s="507">
        <v>300000</v>
      </c>
      <c r="T537" s="507">
        <v>800000</v>
      </c>
      <c r="U537" s="266"/>
      <c r="V537" s="266"/>
      <c r="W537" s="266"/>
      <c r="X537" s="266"/>
      <c r="Y537" s="271">
        <v>0.35</v>
      </c>
      <c r="Z537" s="605">
        <f t="shared" si="81"/>
        <v>280000</v>
      </c>
      <c r="AA537" s="266"/>
      <c r="AB537" s="605">
        <f t="shared" si="89"/>
        <v>480000</v>
      </c>
      <c r="AC537" s="607">
        <f t="shared" si="87"/>
        <v>200000</v>
      </c>
      <c r="AD537" s="266"/>
    </row>
    <row r="538" spans="1:30" s="272" customFormat="1" ht="63" x14ac:dyDescent="0.25">
      <c r="A538" s="74">
        <v>535</v>
      </c>
      <c r="B538" s="373">
        <v>44013</v>
      </c>
      <c r="C538" s="358" t="s">
        <v>4701</v>
      </c>
      <c r="D538" s="358" t="s">
        <v>3657</v>
      </c>
      <c r="E538" s="358"/>
      <c r="F538" s="335" t="s">
        <v>4703</v>
      </c>
      <c r="G538" s="269"/>
      <c r="H538" s="335" t="s">
        <v>168</v>
      </c>
      <c r="I538" s="358" t="s">
        <v>4704</v>
      </c>
      <c r="J538" s="269" t="s">
        <v>3657</v>
      </c>
      <c r="K538" s="269"/>
      <c r="L538" s="266"/>
      <c r="M538" s="278"/>
      <c r="N538" s="439"/>
      <c r="O538" s="507" t="s">
        <v>1048</v>
      </c>
      <c r="P538" s="507" t="s">
        <v>153</v>
      </c>
      <c r="Q538" s="507">
        <v>300</v>
      </c>
      <c r="R538" s="549">
        <v>500000</v>
      </c>
      <c r="S538" s="507">
        <v>300000</v>
      </c>
      <c r="T538" s="507">
        <v>800000</v>
      </c>
      <c r="U538" s="266"/>
      <c r="V538" s="266"/>
      <c r="W538" s="266"/>
      <c r="X538" s="266"/>
      <c r="Y538" s="271">
        <v>0.4</v>
      </c>
      <c r="Z538" s="605">
        <f t="shared" si="81"/>
        <v>320000</v>
      </c>
      <c r="AA538" s="266"/>
      <c r="AB538" s="605">
        <f t="shared" si="89"/>
        <v>480000</v>
      </c>
      <c r="AC538" s="607">
        <f t="shared" si="87"/>
        <v>160000</v>
      </c>
      <c r="AD538" s="266"/>
    </row>
    <row r="539" spans="1:30" ht="47.25" x14ac:dyDescent="0.25">
      <c r="A539" s="311">
        <v>536</v>
      </c>
      <c r="B539" s="22">
        <v>44013</v>
      </c>
      <c r="C539" s="148" t="s">
        <v>4705</v>
      </c>
      <c r="D539" s="148"/>
      <c r="E539" s="148"/>
      <c r="F539" s="101" t="s">
        <v>4707</v>
      </c>
      <c r="G539" s="10"/>
      <c r="H539" s="101" t="s">
        <v>273</v>
      </c>
      <c r="I539" s="148" t="s">
        <v>4706</v>
      </c>
      <c r="J539" s="10" t="s">
        <v>4708</v>
      </c>
      <c r="K539" s="10"/>
      <c r="L539" s="19"/>
      <c r="M539" s="13"/>
      <c r="N539" s="249"/>
      <c r="O539" s="19" t="s">
        <v>4483</v>
      </c>
      <c r="P539" s="19"/>
      <c r="Q539" s="19"/>
      <c r="R539" s="13"/>
      <c r="S539" s="19"/>
      <c r="T539" s="19"/>
      <c r="U539" s="19"/>
      <c r="V539" s="19"/>
      <c r="W539" s="19"/>
      <c r="X539" s="19"/>
      <c r="Y539" s="19"/>
      <c r="Z539" s="605">
        <f t="shared" si="81"/>
        <v>0</v>
      </c>
      <c r="AA539" s="19"/>
      <c r="AB539" s="605">
        <f t="shared" si="89"/>
        <v>0</v>
      </c>
      <c r="AC539" s="607">
        <f t="shared" si="87"/>
        <v>0</v>
      </c>
      <c r="AD539" s="19"/>
    </row>
    <row r="540" spans="1:30" s="272" customFormat="1" ht="47.25" x14ac:dyDescent="0.25">
      <c r="A540" s="113">
        <v>537</v>
      </c>
      <c r="B540" s="373">
        <v>44013</v>
      </c>
      <c r="C540" s="358" t="s">
        <v>4709</v>
      </c>
      <c r="D540" s="358"/>
      <c r="E540" s="358"/>
      <c r="F540" s="335" t="s">
        <v>4710</v>
      </c>
      <c r="G540" s="269"/>
      <c r="H540" s="335" t="s">
        <v>273</v>
      </c>
      <c r="I540" s="358" t="s">
        <v>4711</v>
      </c>
      <c r="J540" s="269"/>
      <c r="K540" s="269"/>
      <c r="L540" s="266"/>
      <c r="M540" s="278"/>
      <c r="N540" s="439"/>
      <c r="O540" s="507" t="s">
        <v>1048</v>
      </c>
      <c r="P540" s="507" t="s">
        <v>153</v>
      </c>
      <c r="Q540" s="507">
        <v>300</v>
      </c>
      <c r="R540" s="549">
        <v>500000</v>
      </c>
      <c r="S540" s="507">
        <v>300000</v>
      </c>
      <c r="T540" s="507">
        <v>800000</v>
      </c>
      <c r="U540" s="266"/>
      <c r="V540" s="266"/>
      <c r="W540" s="266"/>
      <c r="X540" s="266"/>
      <c r="Y540" s="271">
        <v>0.4</v>
      </c>
      <c r="Z540" s="605">
        <f t="shared" si="81"/>
        <v>320000</v>
      </c>
      <c r="AA540" s="266"/>
      <c r="AB540" s="605">
        <f t="shared" si="89"/>
        <v>480000</v>
      </c>
      <c r="AC540" s="607">
        <f t="shared" si="87"/>
        <v>160000</v>
      </c>
      <c r="AD540" s="266"/>
    </row>
    <row r="541" spans="1:30" ht="31.5" x14ac:dyDescent="0.25">
      <c r="A541" s="74">
        <v>538</v>
      </c>
      <c r="B541" s="22">
        <v>44013</v>
      </c>
      <c r="C541" s="148" t="s">
        <v>4712</v>
      </c>
      <c r="D541" s="148"/>
      <c r="E541" s="148"/>
      <c r="F541" s="101" t="s">
        <v>4714</v>
      </c>
      <c r="G541" s="10"/>
      <c r="H541" s="335" t="s">
        <v>273</v>
      </c>
      <c r="I541" s="148" t="s">
        <v>4713</v>
      </c>
      <c r="J541" s="10"/>
      <c r="K541" s="10"/>
      <c r="L541" s="19"/>
      <c r="M541" s="13"/>
      <c r="N541" s="249"/>
      <c r="O541" s="19" t="s">
        <v>4483</v>
      </c>
      <c r="P541" s="19"/>
      <c r="Q541" s="19"/>
      <c r="R541" s="13"/>
      <c r="S541" s="19"/>
      <c r="T541" s="19"/>
      <c r="U541" s="19"/>
      <c r="V541" s="19"/>
      <c r="W541" s="19"/>
      <c r="X541" s="19"/>
      <c r="Y541" s="19"/>
      <c r="Z541" s="605">
        <f t="shared" si="81"/>
        <v>0</v>
      </c>
      <c r="AA541" s="19"/>
      <c r="AB541" s="605">
        <f t="shared" si="89"/>
        <v>0</v>
      </c>
      <c r="AC541" s="607">
        <f t="shared" si="87"/>
        <v>0</v>
      </c>
      <c r="AD541" s="19"/>
    </row>
    <row r="542" spans="1:30" ht="47.25" x14ac:dyDescent="0.25">
      <c r="A542" s="311">
        <v>539</v>
      </c>
      <c r="B542" s="22">
        <v>44013</v>
      </c>
      <c r="C542" s="148" t="s">
        <v>4715</v>
      </c>
      <c r="D542" s="148"/>
      <c r="E542" s="148"/>
      <c r="F542" s="101" t="s">
        <v>4717</v>
      </c>
      <c r="G542" s="10"/>
      <c r="H542" s="101" t="s">
        <v>273</v>
      </c>
      <c r="I542" s="148" t="s">
        <v>4716</v>
      </c>
      <c r="J542" s="10"/>
      <c r="K542" s="10"/>
      <c r="L542" s="19"/>
      <c r="M542" s="13"/>
      <c r="N542" s="249"/>
      <c r="O542" s="19" t="s">
        <v>4483</v>
      </c>
      <c r="P542" s="19"/>
      <c r="Q542" s="19"/>
      <c r="R542" s="13"/>
      <c r="S542" s="19"/>
      <c r="T542" s="19"/>
      <c r="U542" s="19"/>
      <c r="V542" s="19"/>
      <c r="W542" s="19"/>
      <c r="X542" s="19"/>
      <c r="Y542" s="19"/>
      <c r="Z542" s="376">
        <f t="shared" ref="Z542" si="92">T542*Y542</f>
        <v>0</v>
      </c>
      <c r="AA542" s="19"/>
      <c r="AB542" s="605">
        <f t="shared" si="89"/>
        <v>0</v>
      </c>
      <c r="AC542" s="607">
        <f t="shared" si="87"/>
        <v>0</v>
      </c>
      <c r="AD542" s="19"/>
    </row>
    <row r="543" spans="1:30" ht="47.25" x14ac:dyDescent="0.25">
      <c r="A543" s="113">
        <v>540</v>
      </c>
      <c r="B543" s="22">
        <v>44014</v>
      </c>
      <c r="C543" s="148" t="s">
        <v>4721</v>
      </c>
      <c r="D543" s="148"/>
      <c r="E543" s="148"/>
      <c r="F543" s="101" t="s">
        <v>4723</v>
      </c>
      <c r="G543" s="10"/>
      <c r="H543" s="101" t="s">
        <v>273</v>
      </c>
      <c r="I543" s="148" t="s">
        <v>4722</v>
      </c>
      <c r="J543" s="10"/>
      <c r="K543" s="10"/>
      <c r="L543" s="19"/>
      <c r="M543" s="13"/>
      <c r="N543" s="249"/>
      <c r="O543" s="19" t="s">
        <v>4483</v>
      </c>
      <c r="P543" s="19"/>
      <c r="Q543" s="19"/>
      <c r="R543" s="13"/>
      <c r="S543" s="19"/>
      <c r="T543" s="19"/>
      <c r="U543" s="19"/>
      <c r="V543" s="19"/>
      <c r="W543" s="19"/>
      <c r="X543" s="19"/>
      <c r="Y543" s="19"/>
      <c r="Z543" s="605"/>
      <c r="AA543" s="19"/>
      <c r="AB543" s="605">
        <f t="shared" si="89"/>
        <v>0</v>
      </c>
      <c r="AC543" s="607">
        <f t="shared" si="87"/>
        <v>0</v>
      </c>
      <c r="AD543" s="19"/>
    </row>
    <row r="544" spans="1:30" s="272" customFormat="1" ht="47.25" x14ac:dyDescent="0.25">
      <c r="A544" s="74">
        <v>541</v>
      </c>
      <c r="B544" s="373">
        <v>44014</v>
      </c>
      <c r="C544" s="358" t="s">
        <v>4724</v>
      </c>
      <c r="D544" s="358" t="s">
        <v>309</v>
      </c>
      <c r="E544" s="358"/>
      <c r="F544" s="335" t="s">
        <v>4726</v>
      </c>
      <c r="G544" s="269"/>
      <c r="H544" s="335" t="s">
        <v>168</v>
      </c>
      <c r="I544" s="358" t="s">
        <v>4725</v>
      </c>
      <c r="J544" s="269"/>
      <c r="K544" s="269"/>
      <c r="L544" s="266"/>
      <c r="M544" s="278"/>
      <c r="N544" s="439"/>
      <c r="O544" s="507" t="s">
        <v>1484</v>
      </c>
      <c r="P544" s="507" t="s">
        <v>153</v>
      </c>
      <c r="Q544" s="507">
        <v>1000</v>
      </c>
      <c r="R544" s="549">
        <v>500000</v>
      </c>
      <c r="S544" s="507">
        <v>675000</v>
      </c>
      <c r="T544" s="507">
        <f t="shared" ref="T544" si="93">R544+S544</f>
        <v>1175000</v>
      </c>
      <c r="U544" s="266"/>
      <c r="V544" s="266"/>
      <c r="W544" s="266"/>
      <c r="X544" s="266"/>
      <c r="Y544" s="271">
        <v>0.35</v>
      </c>
      <c r="Z544" s="605">
        <f t="shared" ref="Z544:Z607" si="94">T544*Y544</f>
        <v>411250</v>
      </c>
      <c r="AA544" s="266"/>
      <c r="AB544" s="605">
        <f t="shared" si="89"/>
        <v>705000</v>
      </c>
      <c r="AC544" s="607">
        <f t="shared" si="87"/>
        <v>293750</v>
      </c>
      <c r="AD544" s="266"/>
    </row>
    <row r="545" spans="1:30" ht="63" x14ac:dyDescent="0.25">
      <c r="A545" s="311">
        <v>542</v>
      </c>
      <c r="B545" s="22">
        <v>44014</v>
      </c>
      <c r="C545" s="148" t="s">
        <v>4631</v>
      </c>
      <c r="D545" s="148" t="s">
        <v>502</v>
      </c>
      <c r="E545" s="148"/>
      <c r="F545" s="101" t="s">
        <v>4728</v>
      </c>
      <c r="G545" s="10"/>
      <c r="H545" s="101" t="s">
        <v>322</v>
      </c>
      <c r="I545" s="148" t="s">
        <v>4634</v>
      </c>
      <c r="J545" s="10" t="s">
        <v>4727</v>
      </c>
      <c r="K545" s="10"/>
      <c r="L545" s="19"/>
      <c r="M545" s="13"/>
      <c r="N545" s="249"/>
      <c r="O545" s="356" t="s">
        <v>1484</v>
      </c>
      <c r="P545" s="356" t="s">
        <v>153</v>
      </c>
      <c r="Q545" s="356">
        <v>1000</v>
      </c>
      <c r="R545" s="350">
        <v>500000</v>
      </c>
      <c r="S545" s="356">
        <v>675000</v>
      </c>
      <c r="T545" s="356">
        <f t="shared" ref="T545" si="95">R545+S545</f>
        <v>1175000</v>
      </c>
      <c r="U545" s="19"/>
      <c r="V545" s="19"/>
      <c r="W545" s="19"/>
      <c r="X545" s="19"/>
      <c r="Y545" s="165">
        <v>0.35</v>
      </c>
      <c r="Z545" s="376">
        <f t="shared" si="94"/>
        <v>411250</v>
      </c>
      <c r="AA545" s="19"/>
      <c r="AB545" s="376">
        <f t="shared" si="89"/>
        <v>705000</v>
      </c>
      <c r="AC545" s="38">
        <f t="shared" si="87"/>
        <v>293750</v>
      </c>
      <c r="AD545" s="19" t="s">
        <v>5045</v>
      </c>
    </row>
    <row r="546" spans="1:30" ht="47.25" x14ac:dyDescent="0.25">
      <c r="A546" s="113">
        <v>543</v>
      </c>
      <c r="B546" s="22">
        <v>44014</v>
      </c>
      <c r="C546" s="148" t="s">
        <v>4729</v>
      </c>
      <c r="D546" s="148"/>
      <c r="E546" s="148"/>
      <c r="F546" s="101" t="s">
        <v>4731</v>
      </c>
      <c r="G546" s="10"/>
      <c r="H546" s="101" t="s">
        <v>273</v>
      </c>
      <c r="I546" s="148" t="s">
        <v>4730</v>
      </c>
      <c r="J546" s="10"/>
      <c r="K546" s="10"/>
      <c r="L546" s="19"/>
      <c r="M546" s="13"/>
      <c r="N546" s="249"/>
      <c r="O546" s="19" t="s">
        <v>4483</v>
      </c>
      <c r="P546" s="19"/>
      <c r="Q546" s="19"/>
      <c r="R546" s="13"/>
      <c r="S546" s="19"/>
      <c r="T546" s="19"/>
      <c r="U546" s="19"/>
      <c r="V546" s="19"/>
      <c r="W546" s="19"/>
      <c r="X546" s="19"/>
      <c r="Y546" s="19"/>
      <c r="Z546" s="605">
        <f t="shared" si="94"/>
        <v>0</v>
      </c>
      <c r="AA546" s="19"/>
      <c r="AB546" s="605">
        <f t="shared" si="89"/>
        <v>0</v>
      </c>
      <c r="AC546" s="607">
        <f t="shared" si="87"/>
        <v>0</v>
      </c>
      <c r="AD546" s="19"/>
    </row>
    <row r="547" spans="1:30" s="272" customFormat="1" ht="47.25" x14ac:dyDescent="0.25">
      <c r="A547" s="74">
        <v>544</v>
      </c>
      <c r="B547" s="373">
        <v>44014</v>
      </c>
      <c r="C547" s="358" t="s">
        <v>4685</v>
      </c>
      <c r="D547" s="358" t="s">
        <v>309</v>
      </c>
      <c r="E547" s="358"/>
      <c r="F547" s="335" t="s">
        <v>4732</v>
      </c>
      <c r="G547" s="269"/>
      <c r="H547" s="335" t="s">
        <v>273</v>
      </c>
      <c r="I547" s="358" t="s">
        <v>4686</v>
      </c>
      <c r="J547" s="269"/>
      <c r="K547" s="269"/>
      <c r="L547" s="266"/>
      <c r="M547" s="278"/>
      <c r="N547" s="439"/>
      <c r="O547" s="507" t="s">
        <v>1048</v>
      </c>
      <c r="P547" s="507" t="s">
        <v>153</v>
      </c>
      <c r="Q547" s="507">
        <v>300</v>
      </c>
      <c r="R547" s="549">
        <v>500000</v>
      </c>
      <c r="S547" s="507">
        <v>300000</v>
      </c>
      <c r="T547" s="507">
        <v>800000</v>
      </c>
      <c r="U547" s="266"/>
      <c r="V547" s="266"/>
      <c r="W547" s="266"/>
      <c r="X547" s="266"/>
      <c r="Y547" s="271">
        <v>0.35</v>
      </c>
      <c r="Z547" s="605">
        <f t="shared" si="94"/>
        <v>280000</v>
      </c>
      <c r="AA547" s="266"/>
      <c r="AB547" s="605">
        <f t="shared" si="89"/>
        <v>480000</v>
      </c>
      <c r="AC547" s="607">
        <f t="shared" si="87"/>
        <v>200000</v>
      </c>
      <c r="AD547" s="266"/>
    </row>
    <row r="548" spans="1:30" s="272" customFormat="1" ht="47.25" x14ac:dyDescent="0.25">
      <c r="A548" s="311">
        <v>545</v>
      </c>
      <c r="B548" s="373">
        <v>44015</v>
      </c>
      <c r="C548" s="358" t="s">
        <v>4734</v>
      </c>
      <c r="D548" s="358" t="s">
        <v>1686</v>
      </c>
      <c r="E548" s="358"/>
      <c r="F548" s="335" t="s">
        <v>4733</v>
      </c>
      <c r="G548" s="269"/>
      <c r="H548" s="335" t="s">
        <v>2199</v>
      </c>
      <c r="I548" s="358" t="s">
        <v>4735</v>
      </c>
      <c r="J548" s="269"/>
      <c r="K548" s="269"/>
      <c r="L548" s="266"/>
      <c r="M548" s="278"/>
      <c r="N548" s="439"/>
      <c r="O548" s="507" t="s">
        <v>1048</v>
      </c>
      <c r="P548" s="507" t="s">
        <v>153</v>
      </c>
      <c r="Q548" s="507">
        <v>300</v>
      </c>
      <c r="R548" s="549">
        <v>500000</v>
      </c>
      <c r="S548" s="507">
        <v>300000</v>
      </c>
      <c r="T548" s="507">
        <v>800000</v>
      </c>
      <c r="U548" s="266"/>
      <c r="V548" s="266"/>
      <c r="W548" s="266"/>
      <c r="X548" s="266"/>
      <c r="Y548" s="271">
        <v>0.47</v>
      </c>
      <c r="Z548" s="605">
        <f t="shared" si="94"/>
        <v>376000</v>
      </c>
      <c r="AA548" s="266"/>
      <c r="AB548" s="605">
        <f t="shared" si="89"/>
        <v>480000</v>
      </c>
      <c r="AC548" s="607">
        <f t="shared" si="87"/>
        <v>104000</v>
      </c>
      <c r="AD548" s="266"/>
    </row>
    <row r="549" spans="1:30" ht="63" x14ac:dyDescent="0.25">
      <c r="A549" s="113">
        <v>546</v>
      </c>
      <c r="B549" s="22">
        <v>44015</v>
      </c>
      <c r="C549" s="148" t="s">
        <v>4736</v>
      </c>
      <c r="D549" s="148"/>
      <c r="E549" s="148"/>
      <c r="F549" s="101" t="s">
        <v>4738</v>
      </c>
      <c r="G549" s="10"/>
      <c r="H549" s="101" t="s">
        <v>1177</v>
      </c>
      <c r="I549" s="148" t="s">
        <v>4737</v>
      </c>
      <c r="J549" s="10"/>
      <c r="K549" s="10"/>
      <c r="L549" s="19"/>
      <c r="M549" s="13"/>
      <c r="N549" s="249"/>
      <c r="O549" s="19" t="s">
        <v>4483</v>
      </c>
      <c r="P549" s="19"/>
      <c r="Q549" s="19"/>
      <c r="R549" s="13"/>
      <c r="S549" s="19"/>
      <c r="T549" s="19"/>
      <c r="U549" s="19"/>
      <c r="V549" s="19"/>
      <c r="W549" s="19"/>
      <c r="X549" s="19"/>
      <c r="Y549" s="19"/>
      <c r="Z549" s="605">
        <f t="shared" si="94"/>
        <v>0</v>
      </c>
      <c r="AA549" s="19"/>
      <c r="AB549" s="605">
        <f t="shared" si="89"/>
        <v>0</v>
      </c>
      <c r="AC549" s="607">
        <f t="shared" si="87"/>
        <v>0</v>
      </c>
      <c r="AD549" s="19"/>
    </row>
    <row r="550" spans="1:30" s="272" customFormat="1" ht="47.25" x14ac:dyDescent="0.25">
      <c r="A550" s="74">
        <v>547</v>
      </c>
      <c r="B550" s="373">
        <v>44015</v>
      </c>
      <c r="C550" s="358" t="s">
        <v>4740</v>
      </c>
      <c r="D550" s="358" t="s">
        <v>502</v>
      </c>
      <c r="E550" s="358"/>
      <c r="F550" s="335" t="s">
        <v>4739</v>
      </c>
      <c r="G550" s="269"/>
      <c r="H550" s="335" t="s">
        <v>273</v>
      </c>
      <c r="I550" s="358" t="s">
        <v>4741</v>
      </c>
      <c r="J550" s="269" t="s">
        <v>4742</v>
      </c>
      <c r="K550" s="269"/>
      <c r="L550" s="266"/>
      <c r="M550" s="278"/>
      <c r="N550" s="439"/>
      <c r="O550" s="507" t="s">
        <v>1484</v>
      </c>
      <c r="P550" s="507" t="s">
        <v>153</v>
      </c>
      <c r="Q550" s="507">
        <v>1000</v>
      </c>
      <c r="R550" s="549">
        <v>500000</v>
      </c>
      <c r="S550" s="507">
        <v>675000</v>
      </c>
      <c r="T550" s="507">
        <f t="shared" ref="T550" si="96">R550+S550</f>
        <v>1175000</v>
      </c>
      <c r="U550" s="266"/>
      <c r="V550" s="266"/>
      <c r="W550" s="266"/>
      <c r="X550" s="266"/>
      <c r="Y550" s="271">
        <v>0.35</v>
      </c>
      <c r="Z550" s="605">
        <f t="shared" si="94"/>
        <v>411250</v>
      </c>
      <c r="AA550" s="266"/>
      <c r="AB550" s="605">
        <f t="shared" si="89"/>
        <v>705000</v>
      </c>
      <c r="AC550" s="607">
        <f t="shared" si="87"/>
        <v>293750</v>
      </c>
      <c r="AD550" s="266"/>
    </row>
    <row r="551" spans="1:30" ht="47.25" x14ac:dyDescent="0.25">
      <c r="A551" s="311">
        <v>548</v>
      </c>
      <c r="B551" s="22">
        <v>44015</v>
      </c>
      <c r="C551" s="148" t="s">
        <v>4743</v>
      </c>
      <c r="D551" s="148" t="s">
        <v>562</v>
      </c>
      <c r="E551" s="148"/>
      <c r="F551" s="101" t="s">
        <v>4745</v>
      </c>
      <c r="G551" s="10"/>
      <c r="H551" s="101" t="s">
        <v>2199</v>
      </c>
      <c r="I551" s="148" t="s">
        <v>4744</v>
      </c>
      <c r="J551" s="10" t="s">
        <v>4747</v>
      </c>
      <c r="K551" s="310" t="s">
        <v>4746</v>
      </c>
      <c r="L551" s="19"/>
      <c r="M551" s="13"/>
      <c r="N551" s="249"/>
      <c r="O551" s="356" t="s">
        <v>1048</v>
      </c>
      <c r="P551" s="356" t="s">
        <v>153</v>
      </c>
      <c r="Q551" s="356">
        <v>300</v>
      </c>
      <c r="R551" s="350">
        <v>500000</v>
      </c>
      <c r="S551" s="356">
        <v>300000</v>
      </c>
      <c r="T551" s="356">
        <v>800000</v>
      </c>
      <c r="U551" s="19"/>
      <c r="V551" s="19"/>
      <c r="W551" s="19"/>
      <c r="X551" s="19"/>
      <c r="Y551" s="165">
        <v>0.4</v>
      </c>
      <c r="Z551" s="376">
        <f t="shared" si="94"/>
        <v>320000</v>
      </c>
      <c r="AA551" s="19">
        <f>25%*T551</f>
        <v>200000</v>
      </c>
      <c r="AB551" s="376">
        <f t="shared" si="89"/>
        <v>480000</v>
      </c>
      <c r="AC551" s="38">
        <f t="shared" si="87"/>
        <v>160000</v>
      </c>
      <c r="AD551" s="19" t="s">
        <v>4834</v>
      </c>
    </row>
    <row r="552" spans="1:30" ht="47.25" x14ac:dyDescent="0.25">
      <c r="A552" s="113">
        <v>549</v>
      </c>
      <c r="B552" s="22">
        <v>44016</v>
      </c>
      <c r="C552" s="148" t="s">
        <v>4748</v>
      </c>
      <c r="D552" s="148"/>
      <c r="E552" s="148"/>
      <c r="F552" s="101" t="s">
        <v>4750</v>
      </c>
      <c r="G552" s="10"/>
      <c r="H552" s="101" t="s">
        <v>168</v>
      </c>
      <c r="I552" s="148" t="s">
        <v>4749</v>
      </c>
      <c r="J552" s="10" t="s">
        <v>4751</v>
      </c>
      <c r="K552" s="10"/>
      <c r="L552" s="19"/>
      <c r="M552" s="13"/>
      <c r="N552" s="249"/>
      <c r="O552" s="19" t="s">
        <v>4483</v>
      </c>
      <c r="P552" s="19"/>
      <c r="Q552" s="19"/>
      <c r="R552" s="13"/>
      <c r="S552" s="19"/>
      <c r="T552" s="19"/>
      <c r="U552" s="19"/>
      <c r="V552" s="19"/>
      <c r="W552" s="19"/>
      <c r="X552" s="19"/>
      <c r="Y552" s="19"/>
      <c r="Z552" s="605">
        <f t="shared" si="94"/>
        <v>0</v>
      </c>
      <c r="AA552" s="19"/>
      <c r="AB552" s="605">
        <f t="shared" si="89"/>
        <v>0</v>
      </c>
      <c r="AC552" s="607">
        <f t="shared" si="87"/>
        <v>0</v>
      </c>
      <c r="AD552" s="19"/>
    </row>
    <row r="553" spans="1:30" ht="47.25" x14ac:dyDescent="0.25">
      <c r="A553" s="74">
        <v>550</v>
      </c>
      <c r="B553" s="22">
        <v>44018</v>
      </c>
      <c r="C553" s="148" t="s">
        <v>4752</v>
      </c>
      <c r="D553" s="148"/>
      <c r="E553" s="148" t="s">
        <v>4753</v>
      </c>
      <c r="F553" s="101" t="s">
        <v>4754</v>
      </c>
      <c r="G553" s="10"/>
      <c r="H553" s="101" t="s">
        <v>273</v>
      </c>
      <c r="I553" s="148" t="s">
        <v>4755</v>
      </c>
      <c r="J553" s="10"/>
      <c r="K553" s="10"/>
      <c r="L553" s="19"/>
      <c r="M553" s="13"/>
      <c r="N553" s="249"/>
      <c r="O553" s="356" t="s">
        <v>1484</v>
      </c>
      <c r="P553" s="356" t="s">
        <v>153</v>
      </c>
      <c r="Q553" s="356">
        <v>1000</v>
      </c>
      <c r="R553" s="350">
        <v>500000</v>
      </c>
      <c r="S553" s="356">
        <v>675000</v>
      </c>
      <c r="T553" s="356">
        <f t="shared" ref="T553" si="97">R553+S553</f>
        <v>1175000</v>
      </c>
      <c r="U553" s="19"/>
      <c r="V553" s="19"/>
      <c r="W553" s="19"/>
      <c r="X553" s="19"/>
      <c r="Y553" s="165">
        <v>0.35</v>
      </c>
      <c r="Z553" s="376">
        <f t="shared" si="94"/>
        <v>411250</v>
      </c>
      <c r="AA553" s="19"/>
      <c r="AB553" s="376">
        <f t="shared" si="89"/>
        <v>705000</v>
      </c>
      <c r="AC553" s="38">
        <f t="shared" si="87"/>
        <v>293750</v>
      </c>
      <c r="AD553" s="19" t="s">
        <v>4756</v>
      </c>
    </row>
    <row r="554" spans="1:30" ht="47.25" x14ac:dyDescent="0.25">
      <c r="A554" s="311">
        <v>551</v>
      </c>
      <c r="B554" s="22">
        <v>44018</v>
      </c>
      <c r="C554" s="148" t="s">
        <v>1947</v>
      </c>
      <c r="D554" s="148" t="s">
        <v>502</v>
      </c>
      <c r="E554" s="148"/>
      <c r="F554" s="101" t="s">
        <v>1948</v>
      </c>
      <c r="G554" s="10"/>
      <c r="H554" s="101" t="s">
        <v>927</v>
      </c>
      <c r="I554" s="148" t="s">
        <v>4757</v>
      </c>
      <c r="J554" s="10" t="s">
        <v>4758</v>
      </c>
      <c r="K554" s="10"/>
      <c r="L554" s="19"/>
      <c r="M554" s="13"/>
      <c r="N554" s="249"/>
      <c r="O554" s="356" t="s">
        <v>1048</v>
      </c>
      <c r="P554" s="356" t="s">
        <v>153</v>
      </c>
      <c r="Q554" s="356">
        <v>300</v>
      </c>
      <c r="R554" s="350">
        <v>500000</v>
      </c>
      <c r="S554" s="356">
        <v>300000</v>
      </c>
      <c r="T554" s="356">
        <v>800000</v>
      </c>
      <c r="U554" s="19"/>
      <c r="V554" s="19"/>
      <c r="W554" s="19"/>
      <c r="X554" s="19"/>
      <c r="Y554" s="19"/>
      <c r="Z554" s="376">
        <f t="shared" si="94"/>
        <v>0</v>
      </c>
      <c r="AA554" s="19"/>
      <c r="AB554" s="376">
        <f t="shared" si="89"/>
        <v>480000</v>
      </c>
      <c r="AC554" s="38">
        <f t="shared" si="87"/>
        <v>480000</v>
      </c>
      <c r="AD554" s="19" t="s">
        <v>783</v>
      </c>
    </row>
    <row r="555" spans="1:30" s="272" customFormat="1" ht="47.25" x14ac:dyDescent="0.25">
      <c r="A555" s="113">
        <v>552</v>
      </c>
      <c r="B555" s="373">
        <v>44018</v>
      </c>
      <c r="C555" s="358" t="s">
        <v>4760</v>
      </c>
      <c r="D555" s="358" t="s">
        <v>502</v>
      </c>
      <c r="E555" s="358" t="s">
        <v>3646</v>
      </c>
      <c r="F555" s="335" t="s">
        <v>4759</v>
      </c>
      <c r="G555" s="269"/>
      <c r="H555" s="335" t="s">
        <v>3974</v>
      </c>
      <c r="I555" s="358" t="s">
        <v>4761</v>
      </c>
      <c r="J555" s="269" t="s">
        <v>4762</v>
      </c>
      <c r="K555" s="380" t="s">
        <v>4763</v>
      </c>
      <c r="L555" s="266"/>
      <c r="M555" s="278"/>
      <c r="N555" s="439"/>
      <c r="O555" s="507" t="s">
        <v>1048</v>
      </c>
      <c r="P555" s="507" t="s">
        <v>153</v>
      </c>
      <c r="Q555" s="507">
        <v>300</v>
      </c>
      <c r="R555" s="549">
        <v>500000</v>
      </c>
      <c r="S555" s="507">
        <v>300000</v>
      </c>
      <c r="T555" s="507">
        <v>800000</v>
      </c>
      <c r="U555" s="266"/>
      <c r="V555" s="266"/>
      <c r="W555" s="266"/>
      <c r="X555" s="266"/>
      <c r="Y555" s="266"/>
      <c r="Z555" s="605">
        <f t="shared" si="94"/>
        <v>0</v>
      </c>
      <c r="AA555" s="266"/>
      <c r="AB555" s="605">
        <f t="shared" si="89"/>
        <v>480000</v>
      </c>
      <c r="AC555" s="607">
        <f t="shared" si="87"/>
        <v>480000</v>
      </c>
      <c r="AD555" s="266"/>
    </row>
    <row r="556" spans="1:30" s="272" customFormat="1" ht="47.25" x14ac:dyDescent="0.25">
      <c r="A556" s="74">
        <v>553</v>
      </c>
      <c r="B556" s="373">
        <v>44018</v>
      </c>
      <c r="C556" s="358" t="s">
        <v>4765</v>
      </c>
      <c r="D556" s="358" t="s">
        <v>502</v>
      </c>
      <c r="E556" s="358" t="s">
        <v>3646</v>
      </c>
      <c r="F556" s="335" t="s">
        <v>4764</v>
      </c>
      <c r="G556" s="269"/>
      <c r="H556" s="335" t="s">
        <v>322</v>
      </c>
      <c r="I556" s="358" t="s">
        <v>4766</v>
      </c>
      <c r="J556" s="269" t="s">
        <v>4762</v>
      </c>
      <c r="K556" s="380" t="s">
        <v>4763</v>
      </c>
      <c r="L556" s="266"/>
      <c r="M556" s="278"/>
      <c r="N556" s="439"/>
      <c r="O556" s="507" t="s">
        <v>1048</v>
      </c>
      <c r="P556" s="507" t="s">
        <v>153</v>
      </c>
      <c r="Q556" s="507">
        <v>300</v>
      </c>
      <c r="R556" s="549">
        <v>500000</v>
      </c>
      <c r="S556" s="507">
        <v>300000</v>
      </c>
      <c r="T556" s="507">
        <v>800000</v>
      </c>
      <c r="U556" s="266"/>
      <c r="V556" s="266"/>
      <c r="W556" s="266"/>
      <c r="X556" s="266"/>
      <c r="Y556" s="266"/>
      <c r="Z556" s="605">
        <f t="shared" si="94"/>
        <v>0</v>
      </c>
      <c r="AA556" s="266"/>
      <c r="AB556" s="605">
        <f t="shared" si="89"/>
        <v>480000</v>
      </c>
      <c r="AC556" s="607">
        <f t="shared" si="87"/>
        <v>480000</v>
      </c>
      <c r="AD556" s="266"/>
    </row>
    <row r="557" spans="1:30" ht="47.25" x14ac:dyDescent="0.25">
      <c r="A557" s="311">
        <v>554</v>
      </c>
      <c r="B557" s="22">
        <v>44018</v>
      </c>
      <c r="C557" s="148" t="s">
        <v>4768</v>
      </c>
      <c r="D557" s="148"/>
      <c r="E557" s="148" t="s">
        <v>2404</v>
      </c>
      <c r="F557" s="101" t="s">
        <v>4767</v>
      </c>
      <c r="G557" s="10"/>
      <c r="H557" s="101" t="s">
        <v>273</v>
      </c>
      <c r="I557" s="148" t="s">
        <v>4769</v>
      </c>
      <c r="J557" s="10"/>
      <c r="K557" s="10"/>
      <c r="L557" s="19"/>
      <c r="M557" s="13"/>
      <c r="N557" s="249"/>
      <c r="O557" s="19" t="s">
        <v>4483</v>
      </c>
      <c r="P557" s="19"/>
      <c r="Q557" s="19"/>
      <c r="R557" s="13"/>
      <c r="S557" s="19"/>
      <c r="T557" s="19"/>
      <c r="U557" s="19"/>
      <c r="V557" s="19"/>
      <c r="W557" s="19"/>
      <c r="X557" s="19"/>
      <c r="Y557" s="19"/>
      <c r="Z557" s="605">
        <f t="shared" si="94"/>
        <v>0</v>
      </c>
      <c r="AA557" s="19"/>
      <c r="AB557" s="605">
        <f t="shared" si="89"/>
        <v>0</v>
      </c>
      <c r="AC557" s="607">
        <f t="shared" si="87"/>
        <v>0</v>
      </c>
      <c r="AD557" s="19"/>
    </row>
    <row r="558" spans="1:30" s="272" customFormat="1" ht="47.25" x14ac:dyDescent="0.25">
      <c r="A558" s="113">
        <v>555</v>
      </c>
      <c r="B558" s="674" t="s">
        <v>5576</v>
      </c>
      <c r="C558" s="358" t="s">
        <v>4770</v>
      </c>
      <c r="D558" s="358"/>
      <c r="E558" s="358" t="s">
        <v>309</v>
      </c>
      <c r="F558" s="335" t="s">
        <v>4771</v>
      </c>
      <c r="G558" s="269"/>
      <c r="H558" s="335" t="s">
        <v>273</v>
      </c>
      <c r="I558" s="358" t="s">
        <v>4772</v>
      </c>
      <c r="J558" s="269"/>
      <c r="K558" s="380" t="s">
        <v>4773</v>
      </c>
      <c r="L558" s="266"/>
      <c r="M558" s="278"/>
      <c r="N558" s="439"/>
      <c r="O558" s="507" t="s">
        <v>1048</v>
      </c>
      <c r="P558" s="507" t="s">
        <v>153</v>
      </c>
      <c r="Q558" s="507">
        <v>300</v>
      </c>
      <c r="R558" s="549">
        <v>500000</v>
      </c>
      <c r="S558" s="507">
        <v>300000</v>
      </c>
      <c r="T558" s="507">
        <v>800000</v>
      </c>
      <c r="U558" s="266"/>
      <c r="V558" s="266"/>
      <c r="W558" s="266"/>
      <c r="X558" s="266"/>
      <c r="Y558" s="271">
        <v>0.35</v>
      </c>
      <c r="Z558" s="605">
        <f t="shared" si="94"/>
        <v>280000</v>
      </c>
      <c r="AA558" s="266"/>
      <c r="AB558" s="605">
        <f t="shared" si="89"/>
        <v>480000</v>
      </c>
      <c r="AC558" s="607">
        <f t="shared" si="87"/>
        <v>200000</v>
      </c>
      <c r="AD558" s="266"/>
    </row>
    <row r="559" spans="1:30" ht="47.25" x14ac:dyDescent="0.25">
      <c r="A559" s="74">
        <v>556</v>
      </c>
      <c r="B559" s="373">
        <v>44019</v>
      </c>
      <c r="C559" s="148" t="s">
        <v>4774</v>
      </c>
      <c r="D559" s="148"/>
      <c r="E559" s="148"/>
      <c r="F559" s="335" t="s">
        <v>4775</v>
      </c>
      <c r="G559" s="10"/>
      <c r="H559" s="335" t="s">
        <v>273</v>
      </c>
      <c r="I559" s="148" t="s">
        <v>4776</v>
      </c>
      <c r="J559" s="37" t="s">
        <v>4777</v>
      </c>
      <c r="K559" s="10"/>
      <c r="L559" s="19"/>
      <c r="M559" s="13"/>
      <c r="N559" s="249"/>
      <c r="O559" s="19" t="s">
        <v>4483</v>
      </c>
      <c r="P559" s="19"/>
      <c r="Q559" s="19"/>
      <c r="R559" s="13"/>
      <c r="S559" s="19"/>
      <c r="T559" s="19"/>
      <c r="U559" s="19"/>
      <c r="V559" s="19"/>
      <c r="W559" s="19"/>
      <c r="X559" s="19"/>
      <c r="Y559" s="19"/>
      <c r="Z559" s="605">
        <f t="shared" si="94"/>
        <v>0</v>
      </c>
      <c r="AA559" s="19"/>
      <c r="AB559" s="605">
        <f t="shared" si="89"/>
        <v>0</v>
      </c>
      <c r="AC559" s="607">
        <f t="shared" si="87"/>
        <v>0</v>
      </c>
      <c r="AD559" s="19"/>
    </row>
    <row r="560" spans="1:30" s="272" customFormat="1" ht="47.25" x14ac:dyDescent="0.25">
      <c r="A560" s="311">
        <v>557</v>
      </c>
      <c r="B560" s="373">
        <v>44019</v>
      </c>
      <c r="C560" s="358" t="s">
        <v>4778</v>
      </c>
      <c r="D560" s="358" t="s">
        <v>4402</v>
      </c>
      <c r="E560" s="358"/>
      <c r="F560" s="335" t="s">
        <v>4779</v>
      </c>
      <c r="G560" s="269"/>
      <c r="H560" s="335" t="s">
        <v>273</v>
      </c>
      <c r="I560" s="358" t="s">
        <v>4780</v>
      </c>
      <c r="J560" s="269"/>
      <c r="K560" s="269"/>
      <c r="L560" s="266"/>
      <c r="M560" s="278"/>
      <c r="N560" s="439"/>
      <c r="O560" s="507" t="s">
        <v>1048</v>
      </c>
      <c r="P560" s="507" t="s">
        <v>153</v>
      </c>
      <c r="Q560" s="507">
        <v>300</v>
      </c>
      <c r="R560" s="549">
        <v>500000</v>
      </c>
      <c r="S560" s="507">
        <v>300000</v>
      </c>
      <c r="T560" s="507">
        <v>800000</v>
      </c>
      <c r="U560" s="266"/>
      <c r="V560" s="266"/>
      <c r="W560" s="266"/>
      <c r="X560" s="266"/>
      <c r="Y560" s="271">
        <v>0.35</v>
      </c>
      <c r="Z560" s="605">
        <f t="shared" si="94"/>
        <v>280000</v>
      </c>
      <c r="AA560" s="266"/>
      <c r="AB560" s="605">
        <f t="shared" si="89"/>
        <v>480000</v>
      </c>
      <c r="AC560" s="607">
        <f t="shared" si="87"/>
        <v>200000</v>
      </c>
      <c r="AD560" s="266"/>
    </row>
    <row r="561" spans="1:30" ht="47.25" x14ac:dyDescent="0.25">
      <c r="A561" s="113">
        <v>558</v>
      </c>
      <c r="B561" s="22">
        <v>44019</v>
      </c>
      <c r="C561" s="148" t="s">
        <v>4781</v>
      </c>
      <c r="D561" s="148" t="s">
        <v>2483</v>
      </c>
      <c r="E561" s="148"/>
      <c r="F561" s="101" t="s">
        <v>4783</v>
      </c>
      <c r="G561" s="10"/>
      <c r="H561" s="101" t="s">
        <v>273</v>
      </c>
      <c r="I561" s="148" t="s">
        <v>4782</v>
      </c>
      <c r="J561" s="10" t="s">
        <v>4784</v>
      </c>
      <c r="K561" s="10"/>
      <c r="L561" s="19"/>
      <c r="M561" s="13"/>
      <c r="N561" s="249"/>
      <c r="O561" s="19" t="s">
        <v>4483</v>
      </c>
      <c r="P561" s="19"/>
      <c r="Q561" s="19"/>
      <c r="R561" s="13"/>
      <c r="S561" s="19"/>
      <c r="T561" s="19"/>
      <c r="U561" s="19"/>
      <c r="V561" s="19"/>
      <c r="W561" s="19"/>
      <c r="X561" s="19"/>
      <c r="Y561" s="19"/>
      <c r="Z561" s="376">
        <f t="shared" si="94"/>
        <v>0</v>
      </c>
      <c r="AA561" s="19"/>
      <c r="AB561" s="376">
        <f t="shared" si="89"/>
        <v>0</v>
      </c>
      <c r="AC561" s="38">
        <f t="shared" si="87"/>
        <v>0</v>
      </c>
      <c r="AD561" s="19"/>
    </row>
    <row r="562" spans="1:30" s="272" customFormat="1" ht="47.25" x14ac:dyDescent="0.25">
      <c r="A562" s="74">
        <v>559</v>
      </c>
      <c r="B562" s="373">
        <v>44020</v>
      </c>
      <c r="C562" s="358" t="s">
        <v>4785</v>
      </c>
      <c r="D562" s="358"/>
      <c r="E562" s="358" t="s">
        <v>309</v>
      </c>
      <c r="F562" s="335" t="s">
        <v>4786</v>
      </c>
      <c r="G562" s="269"/>
      <c r="H562" s="335" t="s">
        <v>273</v>
      </c>
      <c r="I562" s="358" t="s">
        <v>4787</v>
      </c>
      <c r="J562" s="269"/>
      <c r="K562" s="269"/>
      <c r="L562" s="266"/>
      <c r="M562" s="278"/>
      <c r="N562" s="439"/>
      <c r="O562" s="507" t="s">
        <v>1048</v>
      </c>
      <c r="P562" s="507" t="s">
        <v>153</v>
      </c>
      <c r="Q562" s="507">
        <v>300</v>
      </c>
      <c r="R562" s="549">
        <v>500000</v>
      </c>
      <c r="S562" s="507">
        <v>300000</v>
      </c>
      <c r="T562" s="507">
        <v>800000</v>
      </c>
      <c r="U562" s="266"/>
      <c r="V562" s="266"/>
      <c r="W562" s="266"/>
      <c r="X562" s="266"/>
      <c r="Y562" s="271">
        <v>0.35</v>
      </c>
      <c r="Z562" s="605">
        <f t="shared" si="94"/>
        <v>280000</v>
      </c>
      <c r="AA562" s="266"/>
      <c r="AB562" s="605">
        <f t="shared" si="89"/>
        <v>480000</v>
      </c>
      <c r="AC562" s="607">
        <f t="shared" si="87"/>
        <v>200000</v>
      </c>
      <c r="AD562" s="266"/>
    </row>
    <row r="563" spans="1:30" s="272" customFormat="1" ht="47.25" x14ac:dyDescent="0.25">
      <c r="A563" s="311">
        <v>560</v>
      </c>
      <c r="B563" s="373">
        <v>44021</v>
      </c>
      <c r="C563" s="358" t="s">
        <v>4788</v>
      </c>
      <c r="D563" s="358"/>
      <c r="E563" s="358" t="s">
        <v>2324</v>
      </c>
      <c r="F563" s="335" t="s">
        <v>4789</v>
      </c>
      <c r="G563" s="269"/>
      <c r="H563" s="335" t="s">
        <v>273</v>
      </c>
      <c r="I563" s="358" t="s">
        <v>4790</v>
      </c>
      <c r="J563" s="269"/>
      <c r="K563" s="269"/>
      <c r="L563" s="266"/>
      <c r="M563" s="278"/>
      <c r="N563" s="439"/>
      <c r="O563" s="507" t="s">
        <v>1048</v>
      </c>
      <c r="P563" s="507" t="s">
        <v>153</v>
      </c>
      <c r="Q563" s="507">
        <v>300</v>
      </c>
      <c r="R563" s="549">
        <v>500000</v>
      </c>
      <c r="S563" s="507">
        <v>300000</v>
      </c>
      <c r="T563" s="507">
        <v>800000</v>
      </c>
      <c r="U563" s="266"/>
      <c r="V563" s="266"/>
      <c r="W563" s="266"/>
      <c r="X563" s="266"/>
      <c r="Y563" s="271">
        <v>0.4</v>
      </c>
      <c r="Z563" s="605">
        <f t="shared" si="94"/>
        <v>320000</v>
      </c>
      <c r="AA563" s="266"/>
      <c r="AB563" s="605">
        <f t="shared" si="89"/>
        <v>480000</v>
      </c>
      <c r="AC563" s="607">
        <f t="shared" si="87"/>
        <v>160000</v>
      </c>
      <c r="AD563" s="266"/>
    </row>
    <row r="564" spans="1:30" ht="63" x14ac:dyDescent="0.25">
      <c r="A564" s="113">
        <v>561</v>
      </c>
      <c r="B564" s="22">
        <v>44021</v>
      </c>
      <c r="C564" s="148" t="s">
        <v>4791</v>
      </c>
      <c r="D564" s="148"/>
      <c r="E564" s="148" t="s">
        <v>2404</v>
      </c>
      <c r="F564" s="101" t="s">
        <v>4794</v>
      </c>
      <c r="G564" s="10"/>
      <c r="H564" s="101" t="s">
        <v>273</v>
      </c>
      <c r="I564" s="148" t="s">
        <v>4792</v>
      </c>
      <c r="J564" s="10" t="s">
        <v>4793</v>
      </c>
      <c r="K564" s="10"/>
      <c r="L564" s="19"/>
      <c r="M564" s="13"/>
      <c r="N564" s="249"/>
      <c r="O564" s="19" t="s">
        <v>4483</v>
      </c>
      <c r="P564" s="19"/>
      <c r="Q564" s="19"/>
      <c r="R564" s="13"/>
      <c r="S564" s="19"/>
      <c r="T564" s="19"/>
      <c r="U564" s="19"/>
      <c r="V564" s="19"/>
      <c r="W564" s="19"/>
      <c r="X564" s="19"/>
      <c r="Y564" s="19"/>
      <c r="Z564" s="376">
        <f t="shared" si="94"/>
        <v>0</v>
      </c>
      <c r="AA564" s="19"/>
      <c r="AB564" s="376">
        <f t="shared" si="89"/>
        <v>0</v>
      </c>
      <c r="AC564" s="38">
        <f t="shared" si="87"/>
        <v>0</v>
      </c>
      <c r="AD564" s="19"/>
    </row>
    <row r="565" spans="1:30" ht="63" x14ac:dyDescent="0.25">
      <c r="A565" s="74">
        <v>562</v>
      </c>
      <c r="B565" s="22">
        <v>44021</v>
      </c>
      <c r="C565" s="148" t="s">
        <v>4795</v>
      </c>
      <c r="D565" s="101" t="s">
        <v>1177</v>
      </c>
      <c r="E565" s="148" t="s">
        <v>3646</v>
      </c>
      <c r="F565" s="101" t="s">
        <v>4797</v>
      </c>
      <c r="G565" s="10"/>
      <c r="H565" s="101" t="s">
        <v>1177</v>
      </c>
      <c r="I565" s="148" t="s">
        <v>4796</v>
      </c>
      <c r="J565" s="37" t="s">
        <v>4799</v>
      </c>
      <c r="K565" s="310" t="s">
        <v>4798</v>
      </c>
      <c r="L565" s="19"/>
      <c r="M565" s="13"/>
      <c r="N565" s="249"/>
      <c r="O565" s="356" t="s">
        <v>1484</v>
      </c>
      <c r="P565" s="356" t="s">
        <v>153</v>
      </c>
      <c r="Q565" s="356">
        <v>1000</v>
      </c>
      <c r="R565" s="350">
        <v>500000</v>
      </c>
      <c r="S565" s="356">
        <v>675000</v>
      </c>
      <c r="T565" s="356">
        <f t="shared" ref="T565" si="98">R565+S565</f>
        <v>1175000</v>
      </c>
      <c r="U565" s="19"/>
      <c r="V565" s="19"/>
      <c r="W565" s="19"/>
      <c r="X565" s="19"/>
      <c r="Y565" s="165">
        <v>0.4</v>
      </c>
      <c r="Z565" s="376">
        <f t="shared" si="94"/>
        <v>470000</v>
      </c>
      <c r="AA565" s="19"/>
      <c r="AB565" s="376">
        <f t="shared" si="89"/>
        <v>705000</v>
      </c>
      <c r="AC565" s="38">
        <f t="shared" si="87"/>
        <v>235000</v>
      </c>
      <c r="AD565" s="19" t="s">
        <v>783</v>
      </c>
    </row>
    <row r="566" spans="1:30" s="272" customFormat="1" ht="63" x14ac:dyDescent="0.25">
      <c r="A566" s="311">
        <v>563</v>
      </c>
      <c r="B566" s="373">
        <v>44021</v>
      </c>
      <c r="C566" s="358" t="s">
        <v>4800</v>
      </c>
      <c r="D566" s="335" t="s">
        <v>1177</v>
      </c>
      <c r="E566" s="358" t="s">
        <v>3646</v>
      </c>
      <c r="F566" s="335" t="s">
        <v>4801</v>
      </c>
      <c r="G566" s="269"/>
      <c r="H566" s="335" t="s">
        <v>1177</v>
      </c>
      <c r="I566" s="358" t="s">
        <v>4802</v>
      </c>
      <c r="J566" s="268" t="s">
        <v>4803</v>
      </c>
      <c r="K566" s="380" t="s">
        <v>4804</v>
      </c>
      <c r="L566" s="266"/>
      <c r="M566" s="278"/>
      <c r="N566" s="439"/>
      <c r="O566" s="507" t="s">
        <v>1484</v>
      </c>
      <c r="P566" s="507" t="s">
        <v>153</v>
      </c>
      <c r="Q566" s="507">
        <v>1000</v>
      </c>
      <c r="R566" s="549">
        <v>500000</v>
      </c>
      <c r="S566" s="507">
        <v>675000</v>
      </c>
      <c r="T566" s="507">
        <f t="shared" ref="T566" si="99">R566+S566</f>
        <v>1175000</v>
      </c>
      <c r="U566" s="266"/>
      <c r="V566" s="266"/>
      <c r="W566" s="266"/>
      <c r="X566" s="266"/>
      <c r="Y566" s="271">
        <v>0.4</v>
      </c>
      <c r="Z566" s="605">
        <f t="shared" si="94"/>
        <v>470000</v>
      </c>
      <c r="AA566" s="266"/>
      <c r="AB566" s="605">
        <f t="shared" si="89"/>
        <v>705000</v>
      </c>
      <c r="AC566" s="607">
        <f t="shared" ref="AC566:AC628" si="100">AB566-Z566</f>
        <v>235000</v>
      </c>
      <c r="AD566" s="266"/>
    </row>
    <row r="567" spans="1:30" ht="47.25" x14ac:dyDescent="0.25">
      <c r="A567" s="113">
        <v>564</v>
      </c>
      <c r="B567" s="22">
        <v>44021</v>
      </c>
      <c r="C567" s="148" t="s">
        <v>4805</v>
      </c>
      <c r="D567" s="148"/>
      <c r="E567" s="148" t="s">
        <v>2404</v>
      </c>
      <c r="F567" s="101" t="s">
        <v>4807</v>
      </c>
      <c r="G567" s="10"/>
      <c r="H567" s="101" t="s">
        <v>273</v>
      </c>
      <c r="I567" s="148" t="s">
        <v>4806</v>
      </c>
      <c r="J567" s="10"/>
      <c r="K567" s="10"/>
      <c r="L567" s="19"/>
      <c r="M567" s="13"/>
      <c r="N567" s="249"/>
      <c r="O567" s="19" t="s">
        <v>4483</v>
      </c>
      <c r="P567" s="19"/>
      <c r="Q567" s="19"/>
      <c r="R567" s="13"/>
      <c r="S567" s="19"/>
      <c r="T567" s="19"/>
      <c r="U567" s="19"/>
      <c r="V567" s="19"/>
      <c r="W567" s="19"/>
      <c r="X567" s="19"/>
      <c r="Y567" s="19"/>
      <c r="Z567" s="376">
        <f t="shared" si="94"/>
        <v>0</v>
      </c>
      <c r="AA567" s="19"/>
      <c r="AB567" s="376">
        <f t="shared" si="89"/>
        <v>0</v>
      </c>
      <c r="AC567" s="38">
        <f t="shared" si="100"/>
        <v>0</v>
      </c>
      <c r="AD567" s="19"/>
    </row>
    <row r="568" spans="1:30" ht="63" x14ac:dyDescent="0.25">
      <c r="A568" s="74">
        <v>565</v>
      </c>
      <c r="B568" s="22">
        <v>44021</v>
      </c>
      <c r="C568" s="148" t="s">
        <v>4808</v>
      </c>
      <c r="D568" s="148"/>
      <c r="E568" s="148" t="s">
        <v>2404</v>
      </c>
      <c r="F568" s="101" t="s">
        <v>4810</v>
      </c>
      <c r="G568" s="10"/>
      <c r="H568" s="101" t="s">
        <v>273</v>
      </c>
      <c r="I568" s="148" t="s">
        <v>4809</v>
      </c>
      <c r="J568" s="10"/>
      <c r="K568" s="10"/>
      <c r="L568" s="19"/>
      <c r="M568" s="13"/>
      <c r="N568" s="249"/>
      <c r="O568" s="19" t="s">
        <v>4483</v>
      </c>
      <c r="P568" s="19"/>
      <c r="Q568" s="19"/>
      <c r="R568" s="13"/>
      <c r="S568" s="19"/>
      <c r="T568" s="19"/>
      <c r="U568" s="19"/>
      <c r="V568" s="19"/>
      <c r="W568" s="19"/>
      <c r="X568" s="19"/>
      <c r="Y568" s="19"/>
      <c r="Z568" s="605">
        <f t="shared" si="94"/>
        <v>0</v>
      </c>
      <c r="AA568" s="19"/>
      <c r="AB568" s="605">
        <f t="shared" si="89"/>
        <v>0</v>
      </c>
      <c r="AC568" s="607">
        <f t="shared" si="100"/>
        <v>0</v>
      </c>
      <c r="AD568" s="19"/>
    </row>
    <row r="569" spans="1:30" s="272" customFormat="1" ht="63" x14ac:dyDescent="0.25">
      <c r="A569" s="311">
        <v>566</v>
      </c>
      <c r="B569" s="674" t="s">
        <v>5577</v>
      </c>
      <c r="C569" s="358" t="s">
        <v>4808</v>
      </c>
      <c r="D569" s="358"/>
      <c r="E569" s="358" t="s">
        <v>2404</v>
      </c>
      <c r="F569" s="335" t="s">
        <v>4810</v>
      </c>
      <c r="G569" s="269"/>
      <c r="H569" s="335" t="s">
        <v>273</v>
      </c>
      <c r="I569" s="358" t="s">
        <v>4809</v>
      </c>
      <c r="J569" s="269"/>
      <c r="K569" s="269"/>
      <c r="L569" s="266"/>
      <c r="M569" s="278"/>
      <c r="N569" s="439"/>
      <c r="O569" s="507" t="s">
        <v>1048</v>
      </c>
      <c r="P569" s="507" t="s">
        <v>94</v>
      </c>
      <c r="Q569" s="507">
        <v>300</v>
      </c>
      <c r="R569" s="549"/>
      <c r="S569" s="507">
        <v>300000</v>
      </c>
      <c r="T569" s="627">
        <v>300000</v>
      </c>
      <c r="U569" s="271">
        <v>0.35</v>
      </c>
      <c r="V569" s="266"/>
      <c r="W569" s="266"/>
      <c r="X569" s="266"/>
      <c r="Y569" s="271">
        <v>0.35</v>
      </c>
      <c r="Z569" s="605">
        <f t="shared" si="94"/>
        <v>105000</v>
      </c>
      <c r="AA569" s="266"/>
      <c r="AB569" s="605">
        <f t="shared" si="89"/>
        <v>180000</v>
      </c>
      <c r="AC569" s="607">
        <f t="shared" si="100"/>
        <v>75000</v>
      </c>
      <c r="AD569" s="266"/>
    </row>
    <row r="570" spans="1:30" ht="47.25" x14ac:dyDescent="0.25">
      <c r="A570" s="113">
        <v>567</v>
      </c>
      <c r="B570" s="22">
        <v>44021</v>
      </c>
      <c r="C570" s="148" t="s">
        <v>4811</v>
      </c>
      <c r="D570" s="148"/>
      <c r="E570" s="148" t="s">
        <v>2404</v>
      </c>
      <c r="F570" s="101" t="s">
        <v>4813</v>
      </c>
      <c r="G570" s="10"/>
      <c r="H570" s="101" t="s">
        <v>659</v>
      </c>
      <c r="I570" s="148" t="s">
        <v>4812</v>
      </c>
      <c r="J570" s="10"/>
      <c r="K570" s="10"/>
      <c r="L570" s="19"/>
      <c r="M570" s="13"/>
      <c r="N570" s="249"/>
      <c r="O570" s="19" t="s">
        <v>4483</v>
      </c>
      <c r="P570" s="19"/>
      <c r="Q570" s="19"/>
      <c r="R570" s="13"/>
      <c r="S570" s="19"/>
      <c r="T570" s="19"/>
      <c r="U570" s="19"/>
      <c r="V570" s="19"/>
      <c r="W570" s="19"/>
      <c r="X570" s="19"/>
      <c r="Y570" s="19"/>
      <c r="Z570" s="605">
        <f t="shared" si="94"/>
        <v>0</v>
      </c>
      <c r="AA570" s="19"/>
      <c r="AB570" s="605">
        <f t="shared" ref="AB570:AB632" si="101">T570*0.6</f>
        <v>0</v>
      </c>
      <c r="AC570" s="607">
        <f t="shared" si="100"/>
        <v>0</v>
      </c>
      <c r="AD570" s="19"/>
    </row>
    <row r="571" spans="1:30" s="272" customFormat="1" ht="47.25" x14ac:dyDescent="0.25">
      <c r="A571" s="74">
        <v>568</v>
      </c>
      <c r="B571" s="373">
        <v>44021</v>
      </c>
      <c r="C571" s="358" t="s">
        <v>4811</v>
      </c>
      <c r="D571" s="358" t="s">
        <v>2404</v>
      </c>
      <c r="E571" s="358"/>
      <c r="F571" s="335" t="s">
        <v>4813</v>
      </c>
      <c r="G571" s="269"/>
      <c r="H571" s="335" t="s">
        <v>659</v>
      </c>
      <c r="I571" s="358" t="s">
        <v>4812</v>
      </c>
      <c r="J571" s="269"/>
      <c r="K571" s="269"/>
      <c r="L571" s="266"/>
      <c r="M571" s="278"/>
      <c r="N571" s="439"/>
      <c r="O571" s="507" t="s">
        <v>1048</v>
      </c>
      <c r="P571" s="507" t="s">
        <v>94</v>
      </c>
      <c r="Q571" s="507">
        <v>300</v>
      </c>
      <c r="R571" s="549"/>
      <c r="S571" s="507">
        <v>300000</v>
      </c>
      <c r="T571" s="627">
        <v>300000</v>
      </c>
      <c r="U571" s="271">
        <v>0.35</v>
      </c>
      <c r="V571" s="266"/>
      <c r="W571" s="266"/>
      <c r="X571" s="266"/>
      <c r="Y571" s="271">
        <v>0.35</v>
      </c>
      <c r="Z571" s="605">
        <f t="shared" si="94"/>
        <v>105000</v>
      </c>
      <c r="AA571" s="266"/>
      <c r="AB571" s="605">
        <f t="shared" si="101"/>
        <v>180000</v>
      </c>
      <c r="AC571" s="607">
        <f t="shared" si="100"/>
        <v>75000</v>
      </c>
      <c r="AD571" s="266"/>
    </row>
    <row r="572" spans="1:30" s="272" customFormat="1" ht="47.25" x14ac:dyDescent="0.25">
      <c r="A572" s="311">
        <v>569</v>
      </c>
      <c r="B572" s="373">
        <v>44021</v>
      </c>
      <c r="C572" s="358" t="s">
        <v>4814</v>
      </c>
      <c r="D572" s="358" t="s">
        <v>2404</v>
      </c>
      <c r="E572" s="358" t="s">
        <v>2404</v>
      </c>
      <c r="F572" s="335" t="s">
        <v>4815</v>
      </c>
      <c r="G572" s="269"/>
      <c r="H572" s="335" t="s">
        <v>322</v>
      </c>
      <c r="I572" s="358" t="s">
        <v>4816</v>
      </c>
      <c r="J572" s="269"/>
      <c r="K572" s="269"/>
      <c r="L572" s="266"/>
      <c r="M572" s="278"/>
      <c r="N572" s="439"/>
      <c r="O572" s="507" t="s">
        <v>1048</v>
      </c>
      <c r="P572" s="507" t="s">
        <v>153</v>
      </c>
      <c r="Q572" s="507">
        <v>300</v>
      </c>
      <c r="R572" s="549">
        <v>500000</v>
      </c>
      <c r="S572" s="507">
        <v>300000</v>
      </c>
      <c r="T572" s="507">
        <v>800000</v>
      </c>
      <c r="U572" s="266"/>
      <c r="V572" s="266"/>
      <c r="W572" s="266"/>
      <c r="X572" s="266"/>
      <c r="Y572" s="271">
        <v>0.35</v>
      </c>
      <c r="Z572" s="605">
        <f t="shared" si="94"/>
        <v>280000</v>
      </c>
      <c r="AA572" s="266"/>
      <c r="AB572" s="605">
        <f t="shared" si="101"/>
        <v>480000</v>
      </c>
      <c r="AC572" s="607">
        <f t="shared" si="100"/>
        <v>200000</v>
      </c>
      <c r="AD572" s="266"/>
    </row>
    <row r="573" spans="1:30" s="272" customFormat="1" ht="47.25" x14ac:dyDescent="0.25">
      <c r="A573" s="113">
        <v>570</v>
      </c>
      <c r="B573" s="373">
        <v>44021</v>
      </c>
      <c r="C573" s="358" t="s">
        <v>4818</v>
      </c>
      <c r="D573" s="358"/>
      <c r="E573" s="358" t="s">
        <v>2404</v>
      </c>
      <c r="F573" s="335" t="s">
        <v>4817</v>
      </c>
      <c r="G573" s="269"/>
      <c r="H573" s="335" t="s">
        <v>273</v>
      </c>
      <c r="I573" s="358" t="s">
        <v>4819</v>
      </c>
      <c r="J573" s="269"/>
      <c r="K573" s="269"/>
      <c r="L573" s="266"/>
      <c r="M573" s="278"/>
      <c r="N573" s="439"/>
      <c r="O573" s="507" t="s">
        <v>1048</v>
      </c>
      <c r="P573" s="507" t="s">
        <v>153</v>
      </c>
      <c r="Q573" s="507">
        <v>300</v>
      </c>
      <c r="R573" s="549">
        <v>500000</v>
      </c>
      <c r="S573" s="507">
        <v>300000</v>
      </c>
      <c r="T573" s="507">
        <v>800000</v>
      </c>
      <c r="U573" s="266"/>
      <c r="V573" s="266"/>
      <c r="W573" s="266"/>
      <c r="X573" s="266"/>
      <c r="Y573" s="271">
        <v>0.35</v>
      </c>
      <c r="Z573" s="605">
        <f t="shared" si="94"/>
        <v>280000</v>
      </c>
      <c r="AA573" s="266"/>
      <c r="AB573" s="605">
        <f t="shared" si="101"/>
        <v>480000</v>
      </c>
      <c r="AC573" s="607">
        <f t="shared" si="100"/>
        <v>200000</v>
      </c>
      <c r="AD573" s="266"/>
    </row>
    <row r="574" spans="1:30" s="272" customFormat="1" ht="63" x14ac:dyDescent="0.25">
      <c r="A574" s="74">
        <v>571</v>
      </c>
      <c r="B574" s="373">
        <v>44021</v>
      </c>
      <c r="C574" s="358" t="s">
        <v>4821</v>
      </c>
      <c r="D574" s="358"/>
      <c r="E574" s="358" t="s">
        <v>309</v>
      </c>
      <c r="F574" s="335" t="s">
        <v>4820</v>
      </c>
      <c r="G574" s="269"/>
      <c r="H574" s="335" t="s">
        <v>273</v>
      </c>
      <c r="I574" s="358" t="s">
        <v>4822</v>
      </c>
      <c r="J574" s="269"/>
      <c r="K574" s="269"/>
      <c r="L574" s="266"/>
      <c r="M574" s="278"/>
      <c r="N574" s="439"/>
      <c r="O574" s="507" t="s">
        <v>1048</v>
      </c>
      <c r="P574" s="507" t="s">
        <v>153</v>
      </c>
      <c r="Q574" s="507">
        <v>300</v>
      </c>
      <c r="R574" s="549">
        <v>500000</v>
      </c>
      <c r="S574" s="507">
        <v>300000</v>
      </c>
      <c r="T574" s="507">
        <v>800000</v>
      </c>
      <c r="U574" s="266"/>
      <c r="V574" s="266"/>
      <c r="W574" s="266"/>
      <c r="X574" s="266"/>
      <c r="Y574" s="271">
        <v>0.35</v>
      </c>
      <c r="Z574" s="605">
        <f t="shared" si="94"/>
        <v>280000</v>
      </c>
      <c r="AA574" s="266"/>
      <c r="AB574" s="605">
        <f t="shared" si="101"/>
        <v>480000</v>
      </c>
      <c r="AC574" s="607">
        <f t="shared" si="100"/>
        <v>200000</v>
      </c>
      <c r="AD574" s="266"/>
    </row>
    <row r="575" spans="1:30" s="272" customFormat="1" ht="47.25" x14ac:dyDescent="0.25">
      <c r="A575" s="311">
        <v>572</v>
      </c>
      <c r="B575" s="373">
        <v>44021</v>
      </c>
      <c r="C575" s="358" t="s">
        <v>4823</v>
      </c>
      <c r="D575" s="358"/>
      <c r="E575" s="358" t="s">
        <v>309</v>
      </c>
      <c r="F575" s="335" t="s">
        <v>4824</v>
      </c>
      <c r="G575" s="269"/>
      <c r="H575" s="335" t="s">
        <v>273</v>
      </c>
      <c r="I575" s="358" t="s">
        <v>4825</v>
      </c>
      <c r="J575" s="269"/>
      <c r="K575" s="269"/>
      <c r="L575" s="266"/>
      <c r="M575" s="278"/>
      <c r="N575" s="439"/>
      <c r="O575" s="507" t="s">
        <v>1048</v>
      </c>
      <c r="P575" s="507" t="s">
        <v>153</v>
      </c>
      <c r="Q575" s="507">
        <v>300</v>
      </c>
      <c r="R575" s="549">
        <v>500000</v>
      </c>
      <c r="S575" s="507">
        <v>300000</v>
      </c>
      <c r="T575" s="507">
        <v>800000</v>
      </c>
      <c r="U575" s="266"/>
      <c r="V575" s="266"/>
      <c r="W575" s="266"/>
      <c r="X575" s="266"/>
      <c r="Y575" s="271">
        <v>0.35</v>
      </c>
      <c r="Z575" s="605">
        <f t="shared" si="94"/>
        <v>280000</v>
      </c>
      <c r="AA575" s="266"/>
      <c r="AB575" s="605">
        <f t="shared" si="101"/>
        <v>480000</v>
      </c>
      <c r="AC575" s="607">
        <f t="shared" si="100"/>
        <v>200000</v>
      </c>
      <c r="AD575" s="266"/>
    </row>
    <row r="576" spans="1:30" ht="63" x14ac:dyDescent="0.25">
      <c r="A576" s="113">
        <v>573</v>
      </c>
      <c r="B576" s="22">
        <v>44021</v>
      </c>
      <c r="C576" s="148" t="s">
        <v>4893</v>
      </c>
      <c r="D576" s="148"/>
      <c r="E576" s="148" t="s">
        <v>2404</v>
      </c>
      <c r="F576" s="101" t="s">
        <v>4894</v>
      </c>
      <c r="G576" s="10"/>
      <c r="H576" s="101" t="s">
        <v>273</v>
      </c>
      <c r="I576" s="148" t="s">
        <v>4895</v>
      </c>
      <c r="J576" s="10"/>
      <c r="K576" s="10"/>
      <c r="L576" s="19"/>
      <c r="M576" s="13"/>
      <c r="N576" s="249"/>
      <c r="O576" s="19" t="s">
        <v>4483</v>
      </c>
      <c r="P576" s="19"/>
      <c r="Q576" s="19"/>
      <c r="R576" s="13"/>
      <c r="S576" s="19"/>
      <c r="T576" s="19"/>
      <c r="U576" s="19"/>
      <c r="V576" s="19"/>
      <c r="W576" s="19"/>
      <c r="X576" s="19"/>
      <c r="Y576" s="19"/>
      <c r="Z576" s="376">
        <f t="shared" si="94"/>
        <v>0</v>
      </c>
      <c r="AA576" s="19"/>
      <c r="AB576" s="376">
        <f t="shared" si="101"/>
        <v>0</v>
      </c>
      <c r="AC576" s="38">
        <f t="shared" si="100"/>
        <v>0</v>
      </c>
      <c r="AD576" s="19"/>
    </row>
    <row r="577" spans="1:30" ht="31.5" x14ac:dyDescent="0.25">
      <c r="A577" s="74">
        <v>574</v>
      </c>
      <c r="B577" s="22">
        <v>44022</v>
      </c>
      <c r="C577" s="629" t="s">
        <v>4897</v>
      </c>
      <c r="D577" s="148" t="s">
        <v>4402</v>
      </c>
      <c r="E577" s="148" t="s">
        <v>3646</v>
      </c>
      <c r="F577" s="636" t="s">
        <v>4907</v>
      </c>
      <c r="G577" s="10"/>
      <c r="H577" s="101" t="s">
        <v>273</v>
      </c>
      <c r="I577" s="148"/>
      <c r="J577" s="10"/>
      <c r="K577" s="10"/>
      <c r="L577" s="19"/>
      <c r="M577" s="13"/>
      <c r="N577" s="249"/>
      <c r="O577" s="628" t="s">
        <v>4917</v>
      </c>
      <c r="P577" s="628" t="s">
        <v>180</v>
      </c>
      <c r="Q577" s="19"/>
      <c r="R577" s="13"/>
      <c r="S577" s="19"/>
      <c r="T577" s="19"/>
      <c r="U577" s="19"/>
      <c r="V577" s="19"/>
      <c r="W577" s="19"/>
      <c r="X577" s="19"/>
      <c r="Y577" s="19"/>
      <c r="Z577" s="605">
        <f t="shared" si="94"/>
        <v>0</v>
      </c>
      <c r="AA577" s="19"/>
      <c r="AB577" s="605">
        <f t="shared" si="101"/>
        <v>0</v>
      </c>
      <c r="AC577" s="607">
        <f t="shared" si="100"/>
        <v>0</v>
      </c>
      <c r="AD577" s="19"/>
    </row>
    <row r="578" spans="1:30" s="272" customFormat="1" ht="30" x14ac:dyDescent="0.25">
      <c r="A578" s="311">
        <v>575</v>
      </c>
      <c r="B578" s="373">
        <v>44022</v>
      </c>
      <c r="C578" s="630" t="s">
        <v>4898</v>
      </c>
      <c r="D578" s="358"/>
      <c r="E578" s="358" t="s">
        <v>309</v>
      </c>
      <c r="F578" s="635" t="s">
        <v>4908</v>
      </c>
      <c r="G578" s="269"/>
      <c r="H578" s="335"/>
      <c r="I578" s="358"/>
      <c r="J578" s="269"/>
      <c r="K578" s="269"/>
      <c r="L578" s="266"/>
      <c r="M578" s="278"/>
      <c r="N578" s="439"/>
      <c r="O578" s="631" t="s">
        <v>4918</v>
      </c>
      <c r="P578" s="631" t="s">
        <v>94</v>
      </c>
      <c r="Q578" s="507">
        <v>300</v>
      </c>
      <c r="R578" s="549"/>
      <c r="S578" s="507">
        <v>300000</v>
      </c>
      <c r="T578" s="507">
        <v>800000</v>
      </c>
      <c r="U578" s="266"/>
      <c r="V578" s="266"/>
      <c r="W578" s="266"/>
      <c r="X578" s="266"/>
      <c r="Y578" s="271">
        <v>0.35</v>
      </c>
      <c r="Z578" s="605">
        <f t="shared" si="94"/>
        <v>280000</v>
      </c>
      <c r="AA578" s="266"/>
      <c r="AB578" s="605">
        <f t="shared" si="101"/>
        <v>480000</v>
      </c>
      <c r="AC578" s="607">
        <f t="shared" si="100"/>
        <v>200000</v>
      </c>
      <c r="AD578" s="266"/>
    </row>
    <row r="579" spans="1:30" ht="30" x14ac:dyDescent="0.25">
      <c r="A579" s="113">
        <v>576</v>
      </c>
      <c r="B579" s="22">
        <v>44022</v>
      </c>
      <c r="C579" s="629" t="s">
        <v>4898</v>
      </c>
      <c r="D579" s="148"/>
      <c r="E579" s="148" t="s">
        <v>309</v>
      </c>
      <c r="F579" s="628" t="s">
        <v>4908</v>
      </c>
      <c r="G579" s="10"/>
      <c r="H579" s="101"/>
      <c r="I579" s="148"/>
      <c r="J579" s="10"/>
      <c r="K579" s="10"/>
      <c r="L579" s="19"/>
      <c r="M579" s="13"/>
      <c r="N579" s="249"/>
      <c r="O579" s="628" t="s">
        <v>1143</v>
      </c>
      <c r="P579" s="628" t="s">
        <v>180</v>
      </c>
      <c r="Q579" s="19"/>
      <c r="R579" s="13"/>
      <c r="S579" s="19"/>
      <c r="T579" s="19"/>
      <c r="U579" s="19"/>
      <c r="V579" s="19"/>
      <c r="W579" s="19"/>
      <c r="X579" s="19"/>
      <c r="Y579" s="19"/>
      <c r="Z579" s="605">
        <f t="shared" si="94"/>
        <v>0</v>
      </c>
      <c r="AA579" s="19"/>
      <c r="AB579" s="605">
        <f t="shared" si="101"/>
        <v>0</v>
      </c>
      <c r="AC579" s="607">
        <f t="shared" si="100"/>
        <v>0</v>
      </c>
      <c r="AD579" s="19"/>
    </row>
    <row r="580" spans="1:30" ht="30" x14ac:dyDescent="0.25">
      <c r="A580" s="74">
        <v>577</v>
      </c>
      <c r="B580" s="22">
        <v>44022</v>
      </c>
      <c r="C580" s="629" t="s">
        <v>4899</v>
      </c>
      <c r="D580" s="148"/>
      <c r="E580" s="148" t="s">
        <v>2404</v>
      </c>
      <c r="F580" s="636" t="s">
        <v>4909</v>
      </c>
      <c r="G580" s="10"/>
      <c r="H580" s="101"/>
      <c r="I580" s="148"/>
      <c r="J580" s="10"/>
      <c r="K580" s="10"/>
      <c r="L580" s="19"/>
      <c r="M580" s="13"/>
      <c r="N580" s="249"/>
      <c r="O580" s="628" t="s">
        <v>4917</v>
      </c>
      <c r="P580" s="628" t="s">
        <v>180</v>
      </c>
      <c r="Q580" s="19"/>
      <c r="R580" s="13"/>
      <c r="S580" s="19"/>
      <c r="T580" s="19"/>
      <c r="U580" s="19"/>
      <c r="V580" s="19"/>
      <c r="W580" s="19"/>
      <c r="X580" s="19"/>
      <c r="Y580" s="19"/>
      <c r="Z580" s="605">
        <f t="shared" si="94"/>
        <v>0</v>
      </c>
      <c r="AA580" s="19"/>
      <c r="AB580" s="605">
        <f t="shared" si="101"/>
        <v>0</v>
      </c>
      <c r="AC580" s="607">
        <f t="shared" si="100"/>
        <v>0</v>
      </c>
      <c r="AD580" s="19"/>
    </row>
    <row r="581" spans="1:30" ht="30" x14ac:dyDescent="0.25">
      <c r="A581" s="311">
        <v>578</v>
      </c>
      <c r="B581" s="22">
        <v>44022</v>
      </c>
      <c r="C581" s="629" t="s">
        <v>4900</v>
      </c>
      <c r="D581" s="148"/>
      <c r="E581" s="148" t="s">
        <v>3646</v>
      </c>
      <c r="F581" s="636" t="s">
        <v>4910</v>
      </c>
      <c r="G581" s="10"/>
      <c r="H581" s="101" t="s">
        <v>273</v>
      </c>
      <c r="I581" s="148"/>
      <c r="J581" s="10"/>
      <c r="K581" s="10"/>
      <c r="L581" s="19"/>
      <c r="M581" s="13"/>
      <c r="N581" s="249"/>
      <c r="O581" s="628" t="s">
        <v>4917</v>
      </c>
      <c r="P581" s="628" t="s">
        <v>180</v>
      </c>
      <c r="Q581" s="19"/>
      <c r="R581" s="13"/>
      <c r="S581" s="19"/>
      <c r="T581" s="19"/>
      <c r="U581" s="19"/>
      <c r="V581" s="19"/>
      <c r="W581" s="19"/>
      <c r="X581" s="19"/>
      <c r="Y581" s="19"/>
      <c r="Z581" s="605">
        <f t="shared" si="94"/>
        <v>0</v>
      </c>
      <c r="AA581" s="19"/>
      <c r="AB581" s="605">
        <f t="shared" si="101"/>
        <v>0</v>
      </c>
      <c r="AC581" s="607">
        <f t="shared" si="100"/>
        <v>0</v>
      </c>
      <c r="AD581" s="19"/>
    </row>
    <row r="582" spans="1:30" x14ac:dyDescent="0.25">
      <c r="A582" s="113">
        <v>579</v>
      </c>
      <c r="B582" s="22">
        <v>44022</v>
      </c>
      <c r="C582" s="629" t="s">
        <v>4901</v>
      </c>
      <c r="D582" s="148"/>
      <c r="E582" s="148" t="s">
        <v>2404</v>
      </c>
      <c r="F582" s="636" t="s">
        <v>4911</v>
      </c>
      <c r="G582" s="10"/>
      <c r="H582" s="101"/>
      <c r="I582" s="148"/>
      <c r="J582" s="10"/>
      <c r="K582" s="10"/>
      <c r="L582" s="19"/>
      <c r="M582" s="13"/>
      <c r="N582" s="249"/>
      <c r="O582" s="628" t="s">
        <v>4917</v>
      </c>
      <c r="P582" s="628" t="s">
        <v>180</v>
      </c>
      <c r="Q582" s="19"/>
      <c r="R582" s="13"/>
      <c r="S582" s="19"/>
      <c r="T582" s="19"/>
      <c r="U582" s="19"/>
      <c r="V582" s="19"/>
      <c r="W582" s="19"/>
      <c r="X582" s="19"/>
      <c r="Y582" s="19"/>
      <c r="Z582" s="605">
        <f t="shared" si="94"/>
        <v>0</v>
      </c>
      <c r="AA582" s="19"/>
      <c r="AB582" s="605">
        <f t="shared" si="101"/>
        <v>0</v>
      </c>
      <c r="AC582" s="607">
        <f t="shared" si="100"/>
        <v>0</v>
      </c>
      <c r="AD582" s="19"/>
    </row>
    <row r="583" spans="1:30" s="272" customFormat="1" ht="30" x14ac:dyDescent="0.25">
      <c r="A583" s="74">
        <v>580</v>
      </c>
      <c r="B583" s="373">
        <v>44022</v>
      </c>
      <c r="C583" s="630" t="s">
        <v>4902</v>
      </c>
      <c r="D583" s="358"/>
      <c r="E583" s="358" t="s">
        <v>309</v>
      </c>
      <c r="F583" s="635" t="s">
        <v>4912</v>
      </c>
      <c r="G583" s="269"/>
      <c r="H583" s="335"/>
      <c r="I583" s="358"/>
      <c r="J583" s="269"/>
      <c r="K583" s="269"/>
      <c r="L583" s="266"/>
      <c r="M583" s="278"/>
      <c r="N583" s="439"/>
      <c r="O583" s="631" t="s">
        <v>4918</v>
      </c>
      <c r="P583" s="631" t="s">
        <v>180</v>
      </c>
      <c r="Q583" s="507">
        <v>300</v>
      </c>
      <c r="R583" s="549">
        <v>500000</v>
      </c>
      <c r="S583" s="507">
        <v>300000</v>
      </c>
      <c r="T583" s="507">
        <v>800000</v>
      </c>
      <c r="U583" s="266"/>
      <c r="V583" s="266"/>
      <c r="W583" s="266"/>
      <c r="X583" s="266"/>
      <c r="Y583" s="271">
        <v>0.35</v>
      </c>
      <c r="Z583" s="605">
        <f t="shared" si="94"/>
        <v>280000</v>
      </c>
      <c r="AA583" s="266"/>
      <c r="AB583" s="605">
        <f t="shared" si="101"/>
        <v>480000</v>
      </c>
      <c r="AC583" s="607">
        <f t="shared" si="100"/>
        <v>200000</v>
      </c>
      <c r="AD583" s="266"/>
    </row>
    <row r="584" spans="1:30" s="272" customFormat="1" ht="47.25" x14ac:dyDescent="0.25">
      <c r="A584" s="311">
        <v>581</v>
      </c>
      <c r="B584" s="373">
        <v>44022</v>
      </c>
      <c r="C584" s="630" t="s">
        <v>4903</v>
      </c>
      <c r="D584" s="358" t="s">
        <v>5049</v>
      </c>
      <c r="E584" s="358" t="s">
        <v>3646</v>
      </c>
      <c r="F584" s="635" t="s">
        <v>4913</v>
      </c>
      <c r="G584" s="269"/>
      <c r="H584" s="335" t="s">
        <v>1177</v>
      </c>
      <c r="I584" s="358" t="s">
        <v>5050</v>
      </c>
      <c r="J584" s="269" t="s">
        <v>5051</v>
      </c>
      <c r="K584" s="208" t="s">
        <v>5052</v>
      </c>
      <c r="L584" s="266"/>
      <c r="M584" s="278"/>
      <c r="N584" s="439"/>
      <c r="O584" s="631" t="s">
        <v>4918</v>
      </c>
      <c r="P584" s="631" t="s">
        <v>180</v>
      </c>
      <c r="Q584" s="507">
        <v>300</v>
      </c>
      <c r="R584" s="549">
        <v>500000</v>
      </c>
      <c r="S584" s="507">
        <v>300000</v>
      </c>
      <c r="T584" s="507">
        <v>800000</v>
      </c>
      <c r="U584" s="266"/>
      <c r="V584" s="266"/>
      <c r="W584" s="266"/>
      <c r="X584" s="266"/>
      <c r="Y584" s="271">
        <v>0.35</v>
      </c>
      <c r="Z584" s="605">
        <f t="shared" si="94"/>
        <v>280000</v>
      </c>
      <c r="AA584" s="266"/>
      <c r="AB584" s="605">
        <f t="shared" si="101"/>
        <v>480000</v>
      </c>
      <c r="AC584" s="607">
        <f t="shared" si="100"/>
        <v>200000</v>
      </c>
      <c r="AD584" s="266"/>
    </row>
    <row r="585" spans="1:30" s="272" customFormat="1" x14ac:dyDescent="0.25">
      <c r="A585" s="113">
        <v>582</v>
      </c>
      <c r="B585" s="373">
        <v>44022</v>
      </c>
      <c r="C585" s="630" t="s">
        <v>4811</v>
      </c>
      <c r="D585" s="358"/>
      <c r="E585" s="358" t="s">
        <v>2404</v>
      </c>
      <c r="F585" s="635" t="s">
        <v>4813</v>
      </c>
      <c r="G585" s="269"/>
      <c r="H585" s="335"/>
      <c r="I585" s="358"/>
      <c r="J585" s="269"/>
      <c r="K585" s="269"/>
      <c r="L585" s="266"/>
      <c r="M585" s="278"/>
      <c r="N585" s="439"/>
      <c r="O585" s="631" t="s">
        <v>4917</v>
      </c>
      <c r="P585" s="631" t="s">
        <v>180</v>
      </c>
      <c r="Q585" s="266"/>
      <c r="R585" s="278"/>
      <c r="S585" s="266"/>
      <c r="T585" s="266"/>
      <c r="U585" s="266"/>
      <c r="V585" s="266"/>
      <c r="W585" s="266"/>
      <c r="X585" s="266"/>
      <c r="Y585" s="266"/>
      <c r="Z585" s="605">
        <f t="shared" si="94"/>
        <v>0</v>
      </c>
      <c r="AA585" s="266"/>
      <c r="AB585" s="605">
        <f t="shared" si="101"/>
        <v>0</v>
      </c>
      <c r="AC585" s="607">
        <f t="shared" si="100"/>
        <v>0</v>
      </c>
      <c r="AD585" s="266"/>
    </row>
    <row r="586" spans="1:30" s="272" customFormat="1" x14ac:dyDescent="0.25">
      <c r="A586" s="74">
        <v>583</v>
      </c>
      <c r="B586" s="373">
        <v>44022</v>
      </c>
      <c r="C586" s="630" t="s">
        <v>4904</v>
      </c>
      <c r="D586" s="358"/>
      <c r="E586" s="358" t="s">
        <v>2404</v>
      </c>
      <c r="F586" s="635" t="s">
        <v>4914</v>
      </c>
      <c r="G586" s="269"/>
      <c r="H586" s="335"/>
      <c r="I586" s="358"/>
      <c r="J586" s="269"/>
      <c r="K586" s="269"/>
      <c r="L586" s="266"/>
      <c r="M586" s="278"/>
      <c r="N586" s="439"/>
      <c r="O586" s="631" t="s">
        <v>4918</v>
      </c>
      <c r="P586" s="631" t="s">
        <v>180</v>
      </c>
      <c r="Q586" s="507">
        <v>300</v>
      </c>
      <c r="R586" s="549">
        <v>500000</v>
      </c>
      <c r="S586" s="507">
        <v>300000</v>
      </c>
      <c r="T586" s="507">
        <v>800000</v>
      </c>
      <c r="U586" s="266"/>
      <c r="V586" s="266"/>
      <c r="W586" s="266"/>
      <c r="X586" s="266"/>
      <c r="Y586" s="271">
        <v>0.35</v>
      </c>
      <c r="Z586" s="605">
        <f t="shared" si="94"/>
        <v>280000</v>
      </c>
      <c r="AA586" s="266"/>
      <c r="AB586" s="605">
        <f t="shared" si="101"/>
        <v>480000</v>
      </c>
      <c r="AC586" s="607">
        <f t="shared" si="100"/>
        <v>200000</v>
      </c>
      <c r="AD586" s="266"/>
    </row>
    <row r="587" spans="1:30" ht="30" x14ac:dyDescent="0.25">
      <c r="A587" s="311">
        <v>584</v>
      </c>
      <c r="B587" s="22">
        <v>44022</v>
      </c>
      <c r="C587" s="629" t="s">
        <v>4814</v>
      </c>
      <c r="D587" s="148"/>
      <c r="E587" s="148" t="s">
        <v>2404</v>
      </c>
      <c r="F587" s="636" t="s">
        <v>4815</v>
      </c>
      <c r="G587" s="10"/>
      <c r="H587" s="101"/>
      <c r="I587" s="148"/>
      <c r="J587" s="10"/>
      <c r="K587" s="10"/>
      <c r="L587" s="19"/>
      <c r="M587" s="13"/>
      <c r="N587" s="249"/>
      <c r="O587" s="628" t="s">
        <v>4917</v>
      </c>
      <c r="P587" s="628" t="s">
        <v>180</v>
      </c>
      <c r="Q587" s="19"/>
      <c r="R587" s="13"/>
      <c r="S587" s="19"/>
      <c r="T587" s="19"/>
      <c r="U587" s="19"/>
      <c r="V587" s="19"/>
      <c r="W587" s="19"/>
      <c r="X587" s="19"/>
      <c r="Y587" s="19"/>
      <c r="Z587" s="605">
        <f t="shared" si="94"/>
        <v>0</v>
      </c>
      <c r="AA587" s="19"/>
      <c r="AB587" s="605">
        <f t="shared" si="101"/>
        <v>0</v>
      </c>
      <c r="AC587" s="607">
        <f t="shared" si="100"/>
        <v>0</v>
      </c>
      <c r="AD587" s="19"/>
    </row>
    <row r="588" spans="1:30" x14ac:dyDescent="0.25">
      <c r="A588" s="113">
        <v>585</v>
      </c>
      <c r="B588" s="22">
        <v>44022</v>
      </c>
      <c r="C588" s="629" t="s">
        <v>4905</v>
      </c>
      <c r="D588" s="148"/>
      <c r="E588" s="148" t="s">
        <v>2404</v>
      </c>
      <c r="F588" s="636" t="s">
        <v>4915</v>
      </c>
      <c r="G588" s="10"/>
      <c r="H588" s="101"/>
      <c r="I588" s="148"/>
      <c r="J588" s="10"/>
      <c r="K588" s="10"/>
      <c r="L588" s="19"/>
      <c r="M588" s="13"/>
      <c r="N588" s="249"/>
      <c r="O588" s="628" t="s">
        <v>4917</v>
      </c>
      <c r="P588" s="628" t="s">
        <v>180</v>
      </c>
      <c r="Q588" s="19"/>
      <c r="R588" s="13"/>
      <c r="S588" s="19"/>
      <c r="T588" s="19"/>
      <c r="U588" s="19"/>
      <c r="V588" s="19"/>
      <c r="W588" s="19"/>
      <c r="X588" s="19"/>
      <c r="Y588" s="19"/>
      <c r="Z588" s="605">
        <f t="shared" si="94"/>
        <v>0</v>
      </c>
      <c r="AA588" s="19"/>
      <c r="AB588" s="605">
        <f t="shared" si="101"/>
        <v>0</v>
      </c>
      <c r="AC588" s="607">
        <f t="shared" si="100"/>
        <v>0</v>
      </c>
      <c r="AD588" s="19"/>
    </row>
    <row r="589" spans="1:30" ht="30" x14ac:dyDescent="0.25">
      <c r="A589" s="74">
        <v>586</v>
      </c>
      <c r="B589" s="22">
        <v>44022</v>
      </c>
      <c r="C589" s="629" t="s">
        <v>4898</v>
      </c>
      <c r="D589" s="148"/>
      <c r="E589" s="148" t="s">
        <v>309</v>
      </c>
      <c r="F589" s="636" t="s">
        <v>4908</v>
      </c>
      <c r="G589" s="10"/>
      <c r="H589" s="101"/>
      <c r="I589" s="148"/>
      <c r="J589" s="10"/>
      <c r="K589" s="10"/>
      <c r="L589" s="19"/>
      <c r="M589" s="13"/>
      <c r="N589" s="249"/>
      <c r="O589" s="628" t="s">
        <v>4917</v>
      </c>
      <c r="P589" s="628" t="s">
        <v>180</v>
      </c>
      <c r="Q589" s="19"/>
      <c r="R589" s="13"/>
      <c r="S589" s="19"/>
      <c r="T589" s="19"/>
      <c r="U589" s="19"/>
      <c r="V589" s="19"/>
      <c r="W589" s="19"/>
      <c r="X589" s="19"/>
      <c r="Y589" s="19"/>
      <c r="Z589" s="605">
        <f t="shared" si="94"/>
        <v>0</v>
      </c>
      <c r="AA589" s="19"/>
      <c r="AB589" s="605">
        <f t="shared" si="101"/>
        <v>0</v>
      </c>
      <c r="AC589" s="607">
        <f t="shared" si="100"/>
        <v>0</v>
      </c>
      <c r="AD589" s="19"/>
    </row>
    <row r="590" spans="1:30" s="272" customFormat="1" x14ac:dyDescent="0.25">
      <c r="A590" s="311">
        <v>587</v>
      </c>
      <c r="B590" s="373">
        <v>44022</v>
      </c>
      <c r="C590" s="630" t="s">
        <v>4906</v>
      </c>
      <c r="D590" s="358"/>
      <c r="E590" s="358" t="s">
        <v>2404</v>
      </c>
      <c r="F590" s="635" t="s">
        <v>4916</v>
      </c>
      <c r="G590" s="269"/>
      <c r="H590" s="335"/>
      <c r="I590" s="358"/>
      <c r="J590" s="269"/>
      <c r="K590" s="269"/>
      <c r="L590" s="266"/>
      <c r="M590" s="278"/>
      <c r="N590" s="439"/>
      <c r="O590" s="631" t="s">
        <v>4918</v>
      </c>
      <c r="P590" s="631" t="s">
        <v>180</v>
      </c>
      <c r="Q590" s="507">
        <v>300</v>
      </c>
      <c r="R590" s="549">
        <v>500000</v>
      </c>
      <c r="S590" s="507">
        <v>300000</v>
      </c>
      <c r="T590" s="507">
        <v>800000</v>
      </c>
      <c r="U590" s="266"/>
      <c r="V590" s="266"/>
      <c r="W590" s="266"/>
      <c r="X590" s="266"/>
      <c r="Y590" s="271">
        <v>0.35</v>
      </c>
      <c r="Z590" s="605">
        <f t="shared" si="94"/>
        <v>280000</v>
      </c>
      <c r="AA590" s="266"/>
      <c r="AB590" s="605">
        <f t="shared" si="101"/>
        <v>480000</v>
      </c>
      <c r="AC590" s="607">
        <f t="shared" si="100"/>
        <v>200000</v>
      </c>
      <c r="AD590" s="266"/>
    </row>
    <row r="591" spans="1:30" ht="30" x14ac:dyDescent="0.25">
      <c r="A591" s="113">
        <v>588</v>
      </c>
      <c r="B591" s="22">
        <v>44022</v>
      </c>
      <c r="C591" s="632" t="s">
        <v>4899</v>
      </c>
      <c r="D591" s="148"/>
      <c r="E591" s="148" t="s">
        <v>2404</v>
      </c>
      <c r="F591" s="633" t="s">
        <v>4909</v>
      </c>
      <c r="G591" s="10"/>
      <c r="H591" s="101"/>
      <c r="I591" s="148"/>
      <c r="J591" s="10"/>
      <c r="K591" s="10"/>
      <c r="L591" s="19"/>
      <c r="M591" s="13"/>
      <c r="N591" s="249"/>
      <c r="O591" s="633" t="s">
        <v>4917</v>
      </c>
      <c r="P591" s="633"/>
      <c r="Q591" s="356"/>
      <c r="R591" s="350"/>
      <c r="S591" s="356"/>
      <c r="T591" s="356"/>
      <c r="U591" s="19"/>
      <c r="V591" s="19"/>
      <c r="W591" s="19"/>
      <c r="X591" s="19"/>
      <c r="Y591" s="165"/>
      <c r="Z591" s="605">
        <f t="shared" si="94"/>
        <v>0</v>
      </c>
      <c r="AA591" s="19"/>
      <c r="AB591" s="376">
        <f t="shared" si="101"/>
        <v>0</v>
      </c>
      <c r="AC591" s="38">
        <f t="shared" si="100"/>
        <v>0</v>
      </c>
      <c r="AD591" s="19"/>
    </row>
    <row r="592" spans="1:30" ht="45" x14ac:dyDescent="0.25">
      <c r="A592" s="74">
        <v>589</v>
      </c>
      <c r="B592" s="22">
        <v>44023</v>
      </c>
      <c r="C592" s="629" t="s">
        <v>4919</v>
      </c>
      <c r="D592" s="148"/>
      <c r="E592" s="148" t="s">
        <v>3646</v>
      </c>
      <c r="F592" s="628" t="s">
        <v>4613</v>
      </c>
      <c r="G592" s="10"/>
      <c r="H592" s="101"/>
      <c r="I592" s="148"/>
      <c r="J592" s="10" t="s">
        <v>5053</v>
      </c>
      <c r="K592" s="208" t="s">
        <v>5054</v>
      </c>
      <c r="L592" s="19"/>
      <c r="M592" s="13"/>
      <c r="N592" s="249"/>
      <c r="O592" s="628" t="s">
        <v>1143</v>
      </c>
      <c r="P592" s="628" t="s">
        <v>180</v>
      </c>
      <c r="Q592" s="19"/>
      <c r="R592" s="13"/>
      <c r="S592" s="19"/>
      <c r="T592" s="19"/>
      <c r="U592" s="19"/>
      <c r="V592" s="19"/>
      <c r="W592" s="19"/>
      <c r="X592" s="19"/>
      <c r="Y592" s="19"/>
      <c r="Z592" s="605">
        <f t="shared" si="94"/>
        <v>0</v>
      </c>
      <c r="AA592" s="19"/>
      <c r="AB592" s="605">
        <f t="shared" si="101"/>
        <v>0</v>
      </c>
      <c r="AC592" s="607">
        <f t="shared" si="100"/>
        <v>0</v>
      </c>
      <c r="AD592" s="19"/>
    </row>
    <row r="593" spans="1:30" ht="30" x14ac:dyDescent="0.25">
      <c r="A593" s="311">
        <v>590</v>
      </c>
      <c r="B593" s="22">
        <v>44023</v>
      </c>
      <c r="C593" s="629" t="s">
        <v>4920</v>
      </c>
      <c r="D593" s="148"/>
      <c r="E593" s="148" t="s">
        <v>3479</v>
      </c>
      <c r="F593" s="636" t="s">
        <v>4934</v>
      </c>
      <c r="G593" s="10"/>
      <c r="H593" s="101"/>
      <c r="I593" s="148"/>
      <c r="J593" s="10"/>
      <c r="K593" s="10"/>
      <c r="L593" s="19"/>
      <c r="M593" s="13"/>
      <c r="N593" s="249"/>
      <c r="O593" s="628" t="s">
        <v>4917</v>
      </c>
      <c r="P593" s="628" t="s">
        <v>180</v>
      </c>
      <c r="Q593" s="19"/>
      <c r="R593" s="13"/>
      <c r="S593" s="19"/>
      <c r="T593" s="19"/>
      <c r="U593" s="19"/>
      <c r="V593" s="19"/>
      <c r="W593" s="19"/>
      <c r="X593" s="19"/>
      <c r="Y593" s="19"/>
      <c r="Z593" s="605">
        <f t="shared" si="94"/>
        <v>0</v>
      </c>
      <c r="AA593" s="19"/>
      <c r="AB593" s="605">
        <f t="shared" si="101"/>
        <v>0</v>
      </c>
      <c r="AC593" s="607">
        <f t="shared" si="100"/>
        <v>0</v>
      </c>
      <c r="AD593" s="19"/>
    </row>
    <row r="594" spans="1:30" s="272" customFormat="1" x14ac:dyDescent="0.25">
      <c r="A594" s="113">
        <v>591</v>
      </c>
      <c r="B594" s="373">
        <v>44023</v>
      </c>
      <c r="C594" s="630" t="s">
        <v>4921</v>
      </c>
      <c r="D594" s="358"/>
      <c r="E594" s="358" t="s">
        <v>2404</v>
      </c>
      <c r="F594" s="635" t="s">
        <v>4935</v>
      </c>
      <c r="G594" s="269"/>
      <c r="H594" s="335"/>
      <c r="I594" s="358"/>
      <c r="J594" s="269"/>
      <c r="K594" s="269"/>
      <c r="L594" s="266"/>
      <c r="M594" s="278"/>
      <c r="N594" s="439"/>
      <c r="O594" s="631" t="s">
        <v>4932</v>
      </c>
      <c r="P594" s="631" t="s">
        <v>180</v>
      </c>
      <c r="Q594" s="266">
        <v>500</v>
      </c>
      <c r="R594" s="278">
        <v>500000</v>
      </c>
      <c r="S594" s="266">
        <v>425000</v>
      </c>
      <c r="T594" s="266">
        <f t="shared" ref="T594" si="102">R594+S594</f>
        <v>925000</v>
      </c>
      <c r="U594" s="266"/>
      <c r="V594" s="266"/>
      <c r="W594" s="266"/>
      <c r="X594" s="266"/>
      <c r="Y594" s="271">
        <v>0.35</v>
      </c>
      <c r="Z594" s="605">
        <f t="shared" si="94"/>
        <v>323750</v>
      </c>
      <c r="AA594" s="266"/>
      <c r="AB594" s="605">
        <f t="shared" si="101"/>
        <v>555000</v>
      </c>
      <c r="AC594" s="607">
        <f t="shared" si="100"/>
        <v>231250</v>
      </c>
      <c r="AD594" s="266"/>
    </row>
    <row r="595" spans="1:30" s="272" customFormat="1" ht="30" x14ac:dyDescent="0.25">
      <c r="A595" s="74">
        <v>592</v>
      </c>
      <c r="B595" s="373">
        <v>44023</v>
      </c>
      <c r="C595" s="630" t="s">
        <v>4922</v>
      </c>
      <c r="D595" s="358"/>
      <c r="E595" s="358" t="s">
        <v>309</v>
      </c>
      <c r="F595" s="635" t="s">
        <v>4936</v>
      </c>
      <c r="G595" s="269"/>
      <c r="H595" s="335"/>
      <c r="I595" s="358"/>
      <c r="J595" s="269"/>
      <c r="K595" s="269"/>
      <c r="L595" s="266"/>
      <c r="M595" s="278"/>
      <c r="N595" s="439"/>
      <c r="O595" s="631" t="s">
        <v>4918</v>
      </c>
      <c r="P595" s="631" t="s">
        <v>94</v>
      </c>
      <c r="Q595" s="507">
        <v>300</v>
      </c>
      <c r="R595" s="549"/>
      <c r="S595" s="507">
        <v>300000</v>
      </c>
      <c r="T595" s="507">
        <v>800000</v>
      </c>
      <c r="U595" s="266"/>
      <c r="V595" s="266"/>
      <c r="W595" s="266"/>
      <c r="X595" s="266"/>
      <c r="Y595" s="271">
        <v>0.35</v>
      </c>
      <c r="Z595" s="605">
        <f t="shared" si="94"/>
        <v>280000</v>
      </c>
      <c r="AA595" s="266"/>
      <c r="AB595" s="605">
        <f t="shared" si="101"/>
        <v>480000</v>
      </c>
      <c r="AC595" s="607">
        <f t="shared" si="100"/>
        <v>200000</v>
      </c>
      <c r="AD595" s="266"/>
    </row>
    <row r="596" spans="1:30" ht="30" x14ac:dyDescent="0.25">
      <c r="A596" s="311">
        <v>593</v>
      </c>
      <c r="B596" s="22">
        <v>44023</v>
      </c>
      <c r="C596" s="629" t="s">
        <v>4922</v>
      </c>
      <c r="D596" s="148"/>
      <c r="E596" s="148" t="s">
        <v>309</v>
      </c>
      <c r="F596" s="628" t="s">
        <v>4936</v>
      </c>
      <c r="G596" s="10"/>
      <c r="H596" s="101"/>
      <c r="I596" s="148"/>
      <c r="J596" s="10"/>
      <c r="K596" s="10"/>
      <c r="L596" s="19"/>
      <c r="M596" s="13"/>
      <c r="N596" s="249"/>
      <c r="O596" s="628" t="s">
        <v>4917</v>
      </c>
      <c r="P596" s="628" t="s">
        <v>180</v>
      </c>
      <c r="Q596" s="19"/>
      <c r="R596" s="13"/>
      <c r="S596" s="19"/>
      <c r="T596" s="19"/>
      <c r="U596" s="19"/>
      <c r="V596" s="19"/>
      <c r="W596" s="19"/>
      <c r="X596" s="19"/>
      <c r="Y596" s="19"/>
      <c r="Z596" s="605">
        <f t="shared" si="94"/>
        <v>0</v>
      </c>
      <c r="AA596" s="19"/>
      <c r="AB596" s="605">
        <f t="shared" si="101"/>
        <v>0</v>
      </c>
      <c r="AC596" s="607">
        <f t="shared" si="100"/>
        <v>0</v>
      </c>
      <c r="AD596" s="19"/>
    </row>
    <row r="597" spans="1:30" s="272" customFormat="1" ht="30" x14ac:dyDescent="0.25">
      <c r="A597" s="113">
        <v>594</v>
      </c>
      <c r="B597" s="373">
        <v>44023</v>
      </c>
      <c r="C597" s="630" t="s">
        <v>4868</v>
      </c>
      <c r="D597" s="358"/>
      <c r="E597" s="358" t="s">
        <v>309</v>
      </c>
      <c r="F597" s="631" t="s">
        <v>4937</v>
      </c>
      <c r="G597" s="269"/>
      <c r="H597" s="335"/>
      <c r="I597" s="358"/>
      <c r="J597" s="269"/>
      <c r="K597" s="269"/>
      <c r="L597" s="266"/>
      <c r="M597" s="278"/>
      <c r="N597" s="439"/>
      <c r="O597" s="631" t="s">
        <v>4918</v>
      </c>
      <c r="P597" s="631" t="s">
        <v>94</v>
      </c>
      <c r="Q597" s="507">
        <v>300</v>
      </c>
      <c r="R597" s="549"/>
      <c r="S597" s="507">
        <v>300000</v>
      </c>
      <c r="T597" s="507">
        <v>300000</v>
      </c>
      <c r="U597" s="266"/>
      <c r="V597" s="266"/>
      <c r="W597" s="266"/>
      <c r="X597" s="266"/>
      <c r="Y597" s="271">
        <v>0.35</v>
      </c>
      <c r="Z597" s="605">
        <f t="shared" si="94"/>
        <v>105000</v>
      </c>
      <c r="AA597" s="266"/>
      <c r="AB597" s="605">
        <f t="shared" si="101"/>
        <v>180000</v>
      </c>
      <c r="AC597" s="607">
        <f t="shared" si="100"/>
        <v>75000</v>
      </c>
      <c r="AD597" s="266"/>
    </row>
    <row r="598" spans="1:30" ht="30" x14ac:dyDescent="0.25">
      <c r="A598" s="74">
        <v>595</v>
      </c>
      <c r="B598" s="22">
        <v>44023</v>
      </c>
      <c r="C598" s="629" t="s">
        <v>4868</v>
      </c>
      <c r="D598" s="148"/>
      <c r="E598" s="148" t="s">
        <v>309</v>
      </c>
      <c r="F598" s="628" t="s">
        <v>4937</v>
      </c>
      <c r="G598" s="10"/>
      <c r="H598" s="101"/>
      <c r="I598" s="148"/>
      <c r="J598" s="10"/>
      <c r="K598" s="10"/>
      <c r="L598" s="19"/>
      <c r="M598" s="13"/>
      <c r="N598" s="249"/>
      <c r="O598" s="628" t="s">
        <v>4917</v>
      </c>
      <c r="P598" s="628" t="s">
        <v>180</v>
      </c>
      <c r="Q598" s="19"/>
      <c r="R598" s="13"/>
      <c r="S598" s="19"/>
      <c r="T598" s="19"/>
      <c r="U598" s="19"/>
      <c r="V598" s="19"/>
      <c r="W598" s="19"/>
      <c r="X598" s="19"/>
      <c r="Y598" s="19"/>
      <c r="Z598" s="605">
        <f t="shared" si="94"/>
        <v>0</v>
      </c>
      <c r="AA598" s="19"/>
      <c r="AB598" s="605">
        <f t="shared" si="101"/>
        <v>0</v>
      </c>
      <c r="AC598" s="607">
        <f t="shared" si="100"/>
        <v>0</v>
      </c>
      <c r="AD598" s="19"/>
    </row>
    <row r="599" spans="1:30" x14ac:dyDescent="0.25">
      <c r="A599" s="311">
        <v>596</v>
      </c>
      <c r="B599" s="22">
        <v>44023</v>
      </c>
      <c r="C599" s="629" t="s">
        <v>4923</v>
      </c>
      <c r="D599" s="148"/>
      <c r="E599" s="148" t="s">
        <v>2404</v>
      </c>
      <c r="F599" s="636" t="s">
        <v>4938</v>
      </c>
      <c r="G599" s="10"/>
      <c r="H599" s="101"/>
      <c r="I599" s="148"/>
      <c r="J599" s="10"/>
      <c r="K599" s="10"/>
      <c r="L599" s="19"/>
      <c r="M599" s="13"/>
      <c r="N599" s="249"/>
      <c r="O599" s="628" t="s">
        <v>4917</v>
      </c>
      <c r="P599" s="628" t="s">
        <v>180</v>
      </c>
      <c r="Q599" s="19"/>
      <c r="R599" s="13"/>
      <c r="S599" s="19"/>
      <c r="T599" s="19"/>
      <c r="U599" s="19"/>
      <c r="V599" s="19"/>
      <c r="W599" s="19"/>
      <c r="X599" s="19"/>
      <c r="Y599" s="19"/>
      <c r="Z599" s="605">
        <f t="shared" si="94"/>
        <v>0</v>
      </c>
      <c r="AA599" s="19"/>
      <c r="AB599" s="605">
        <f t="shared" si="101"/>
        <v>0</v>
      </c>
      <c r="AC599" s="607">
        <f t="shared" si="100"/>
        <v>0</v>
      </c>
      <c r="AD599" s="19"/>
    </row>
    <row r="600" spans="1:30" s="272" customFormat="1" x14ac:dyDescent="0.25">
      <c r="A600" s="113">
        <v>597</v>
      </c>
      <c r="B600" s="373">
        <v>44023</v>
      </c>
      <c r="C600" s="630" t="s">
        <v>4921</v>
      </c>
      <c r="D600" s="358"/>
      <c r="E600" s="358" t="s">
        <v>2404</v>
      </c>
      <c r="F600" s="635" t="s">
        <v>4935</v>
      </c>
      <c r="G600" s="269"/>
      <c r="H600" s="335"/>
      <c r="I600" s="358"/>
      <c r="J600" s="269"/>
      <c r="K600" s="269"/>
      <c r="L600" s="266"/>
      <c r="M600" s="278"/>
      <c r="N600" s="439"/>
      <c r="O600" s="631" t="s">
        <v>4932</v>
      </c>
      <c r="P600" s="631" t="s">
        <v>180</v>
      </c>
      <c r="Q600" s="266">
        <v>500</v>
      </c>
      <c r="R600" s="278">
        <v>500000</v>
      </c>
      <c r="S600" s="266">
        <v>425000</v>
      </c>
      <c r="T600" s="266">
        <f t="shared" ref="T600:T601" si="103">R600+S600</f>
        <v>925000</v>
      </c>
      <c r="U600" s="266"/>
      <c r="V600" s="266"/>
      <c r="W600" s="266"/>
      <c r="X600" s="266"/>
      <c r="Y600" s="271">
        <v>0.35</v>
      </c>
      <c r="Z600" s="605">
        <f t="shared" si="94"/>
        <v>323750</v>
      </c>
      <c r="AA600" s="266"/>
      <c r="AB600" s="605">
        <f t="shared" si="101"/>
        <v>555000</v>
      </c>
      <c r="AC600" s="607">
        <f t="shared" si="100"/>
        <v>231250</v>
      </c>
      <c r="AD600" s="266"/>
    </row>
    <row r="601" spans="1:30" ht="31.5" x14ac:dyDescent="0.25">
      <c r="A601" s="74">
        <v>598</v>
      </c>
      <c r="B601" s="22">
        <v>44023</v>
      </c>
      <c r="C601" s="632" t="s">
        <v>4924</v>
      </c>
      <c r="D601" s="148" t="s">
        <v>502</v>
      </c>
      <c r="E601" s="148" t="s">
        <v>3646</v>
      </c>
      <c r="F601" s="637" t="s">
        <v>4939</v>
      </c>
      <c r="G601" s="10"/>
      <c r="H601" s="101"/>
      <c r="I601" s="148" t="s">
        <v>5055</v>
      </c>
      <c r="J601" s="10" t="s">
        <v>5056</v>
      </c>
      <c r="K601" s="310" t="s">
        <v>5057</v>
      </c>
      <c r="L601" s="19"/>
      <c r="M601" s="13"/>
      <c r="N601" s="249"/>
      <c r="O601" s="633" t="s">
        <v>4933</v>
      </c>
      <c r="P601" s="633" t="s">
        <v>180</v>
      </c>
      <c r="Q601" s="356">
        <v>1000</v>
      </c>
      <c r="R601" s="350">
        <v>500000</v>
      </c>
      <c r="S601" s="356">
        <v>675000</v>
      </c>
      <c r="T601" s="356">
        <f t="shared" si="103"/>
        <v>1175000</v>
      </c>
      <c r="U601" s="19"/>
      <c r="V601" s="19"/>
      <c r="W601" s="19"/>
      <c r="X601" s="19"/>
      <c r="Y601" s="165">
        <v>0.35</v>
      </c>
      <c r="Z601" s="376">
        <f t="shared" si="94"/>
        <v>411250</v>
      </c>
      <c r="AA601" s="19"/>
      <c r="AB601" s="376">
        <f t="shared" si="101"/>
        <v>705000</v>
      </c>
      <c r="AC601" s="38">
        <f t="shared" si="100"/>
        <v>293750</v>
      </c>
      <c r="AD601" s="19" t="s">
        <v>783</v>
      </c>
    </row>
    <row r="602" spans="1:30" x14ac:dyDescent="0.25">
      <c r="A602" s="311">
        <v>599</v>
      </c>
      <c r="B602" s="22">
        <v>44023</v>
      </c>
      <c r="C602" s="629" t="s">
        <v>4925</v>
      </c>
      <c r="D602" s="148"/>
      <c r="E602" s="148" t="s">
        <v>309</v>
      </c>
      <c r="F602" s="636" t="s">
        <v>4940</v>
      </c>
      <c r="G602" s="10"/>
      <c r="H602" s="101" t="s">
        <v>5058</v>
      </c>
      <c r="I602" s="148"/>
      <c r="J602" s="10"/>
      <c r="K602" s="10"/>
      <c r="L602" s="19"/>
      <c r="M602" s="13"/>
      <c r="N602" s="249"/>
      <c r="O602" s="628" t="s">
        <v>4917</v>
      </c>
      <c r="P602" s="628" t="s">
        <v>180</v>
      </c>
      <c r="Q602" s="19"/>
      <c r="R602" s="13"/>
      <c r="S602" s="19"/>
      <c r="T602" s="19"/>
      <c r="U602" s="19"/>
      <c r="V602" s="19"/>
      <c r="W602" s="19"/>
      <c r="X602" s="19"/>
      <c r="Y602" s="19"/>
      <c r="Z602" s="605">
        <f t="shared" si="94"/>
        <v>0</v>
      </c>
      <c r="AA602" s="19"/>
      <c r="AB602" s="605">
        <f t="shared" si="101"/>
        <v>0</v>
      </c>
      <c r="AC602" s="607">
        <f t="shared" si="100"/>
        <v>0</v>
      </c>
      <c r="AD602" s="19"/>
    </row>
    <row r="603" spans="1:30" ht="30" x14ac:dyDescent="0.25">
      <c r="A603" s="113">
        <v>600</v>
      </c>
      <c r="B603" s="22">
        <v>44023</v>
      </c>
      <c r="C603" s="629" t="s">
        <v>4926</v>
      </c>
      <c r="D603" s="148"/>
      <c r="E603" s="148" t="s">
        <v>2404</v>
      </c>
      <c r="F603" s="636" t="s">
        <v>4941</v>
      </c>
      <c r="G603" s="10"/>
      <c r="H603" s="101"/>
      <c r="I603" s="148"/>
      <c r="J603" s="10"/>
      <c r="K603" s="10"/>
      <c r="L603" s="19"/>
      <c r="M603" s="13"/>
      <c r="N603" s="249"/>
      <c r="O603" s="628" t="s">
        <v>4917</v>
      </c>
      <c r="P603" s="628" t="s">
        <v>180</v>
      </c>
      <c r="Q603" s="19"/>
      <c r="R603" s="13"/>
      <c r="S603" s="19"/>
      <c r="T603" s="19"/>
      <c r="U603" s="19"/>
      <c r="V603" s="19"/>
      <c r="W603" s="19"/>
      <c r="X603" s="19"/>
      <c r="Y603" s="19"/>
      <c r="Z603" s="605">
        <f t="shared" si="94"/>
        <v>0</v>
      </c>
      <c r="AA603" s="19"/>
      <c r="AB603" s="605">
        <f t="shared" si="101"/>
        <v>0</v>
      </c>
      <c r="AC603" s="607">
        <f t="shared" si="100"/>
        <v>0</v>
      </c>
      <c r="AD603" s="19"/>
    </row>
    <row r="604" spans="1:30" x14ac:dyDescent="0.25">
      <c r="A604" s="74">
        <v>601</v>
      </c>
      <c r="B604" s="22">
        <v>44023</v>
      </c>
      <c r="C604" s="629" t="s">
        <v>4927</v>
      </c>
      <c r="D604" s="148"/>
      <c r="E604" s="148" t="s">
        <v>309</v>
      </c>
      <c r="F604" s="636" t="s">
        <v>4942</v>
      </c>
      <c r="G604" s="10"/>
      <c r="H604" s="101"/>
      <c r="I604" s="148"/>
      <c r="J604" s="10"/>
      <c r="K604" s="10"/>
      <c r="L604" s="19"/>
      <c r="M604" s="13"/>
      <c r="N604" s="249"/>
      <c r="O604" s="628" t="s">
        <v>4917</v>
      </c>
      <c r="P604" s="628" t="s">
        <v>180</v>
      </c>
      <c r="Q604" s="19"/>
      <c r="R604" s="13"/>
      <c r="S604" s="19"/>
      <c r="T604" s="19"/>
      <c r="U604" s="19"/>
      <c r="V604" s="19"/>
      <c r="W604" s="19"/>
      <c r="X604" s="19"/>
      <c r="Y604" s="19"/>
      <c r="Z604" s="605">
        <f t="shared" si="94"/>
        <v>0</v>
      </c>
      <c r="AA604" s="19"/>
      <c r="AB604" s="605">
        <f t="shared" si="101"/>
        <v>0</v>
      </c>
      <c r="AC604" s="607">
        <f t="shared" si="100"/>
        <v>0</v>
      </c>
      <c r="AD604" s="19"/>
    </row>
    <row r="605" spans="1:30" ht="30" x14ac:dyDescent="0.25">
      <c r="A605" s="311">
        <v>602</v>
      </c>
      <c r="B605" s="22">
        <v>44023</v>
      </c>
      <c r="C605" s="629" t="s">
        <v>4893</v>
      </c>
      <c r="D605" s="148"/>
      <c r="E605" s="148" t="s">
        <v>309</v>
      </c>
      <c r="F605" s="636" t="s">
        <v>4894</v>
      </c>
      <c r="G605" s="10"/>
      <c r="H605" s="101" t="s">
        <v>5058</v>
      </c>
      <c r="I605" s="148"/>
      <c r="J605" s="10"/>
      <c r="K605" s="10"/>
      <c r="L605" s="19"/>
      <c r="M605" s="13"/>
      <c r="N605" s="249"/>
      <c r="O605" s="628" t="s">
        <v>4917</v>
      </c>
      <c r="P605" s="628" t="s">
        <v>180</v>
      </c>
      <c r="Q605" s="19"/>
      <c r="R605" s="13"/>
      <c r="S605" s="19"/>
      <c r="T605" s="19"/>
      <c r="U605" s="19"/>
      <c r="V605" s="19"/>
      <c r="W605" s="19"/>
      <c r="X605" s="19"/>
      <c r="Y605" s="19"/>
      <c r="Z605" s="605">
        <f t="shared" si="94"/>
        <v>0</v>
      </c>
      <c r="AA605" s="19"/>
      <c r="AB605" s="605">
        <f t="shared" si="101"/>
        <v>0</v>
      </c>
      <c r="AC605" s="607">
        <f t="shared" si="100"/>
        <v>0</v>
      </c>
      <c r="AD605" s="19"/>
    </row>
    <row r="606" spans="1:30" ht="30" x14ac:dyDescent="0.25">
      <c r="A606" s="113">
        <v>603</v>
      </c>
      <c r="B606" s="22">
        <v>44023</v>
      </c>
      <c r="C606" s="629" t="s">
        <v>4928</v>
      </c>
      <c r="D606" s="148"/>
      <c r="E606" s="148"/>
      <c r="F606" s="636" t="s">
        <v>4943</v>
      </c>
      <c r="G606" s="10"/>
      <c r="H606" s="101"/>
      <c r="I606" s="148"/>
      <c r="J606" s="10"/>
      <c r="K606" s="10"/>
      <c r="L606" s="19"/>
      <c r="M606" s="13"/>
      <c r="N606" s="249"/>
      <c r="O606" s="628" t="s">
        <v>4917</v>
      </c>
      <c r="P606" s="628" t="s">
        <v>180</v>
      </c>
      <c r="Q606" s="19"/>
      <c r="R606" s="13"/>
      <c r="S606" s="19"/>
      <c r="T606" s="19"/>
      <c r="U606" s="19"/>
      <c r="V606" s="19"/>
      <c r="W606" s="19"/>
      <c r="X606" s="19"/>
      <c r="Y606" s="19"/>
      <c r="Z606" s="605">
        <f t="shared" si="94"/>
        <v>0</v>
      </c>
      <c r="AA606" s="19"/>
      <c r="AB606" s="605">
        <f t="shared" si="101"/>
        <v>0</v>
      </c>
      <c r="AC606" s="607">
        <f t="shared" si="100"/>
        <v>0</v>
      </c>
      <c r="AD606" s="19"/>
    </row>
    <row r="607" spans="1:30" ht="47.25" x14ac:dyDescent="0.25">
      <c r="A607" s="74">
        <v>604</v>
      </c>
      <c r="B607" s="22">
        <v>44023</v>
      </c>
      <c r="C607" s="632" t="s">
        <v>4929</v>
      </c>
      <c r="D607" s="148" t="s">
        <v>4402</v>
      </c>
      <c r="E607" s="148" t="s">
        <v>3646</v>
      </c>
      <c r="F607" s="637" t="s">
        <v>4944</v>
      </c>
      <c r="G607" s="10"/>
      <c r="H607" s="101"/>
      <c r="I607" s="148" t="s">
        <v>5059</v>
      </c>
      <c r="J607" s="10" t="s">
        <v>5056</v>
      </c>
      <c r="K607" s="310" t="s">
        <v>5057</v>
      </c>
      <c r="L607" s="19"/>
      <c r="M607" s="13"/>
      <c r="N607" s="249"/>
      <c r="O607" s="633" t="s">
        <v>4933</v>
      </c>
      <c r="P607" s="633" t="s">
        <v>180</v>
      </c>
      <c r="Q607" s="356">
        <v>1000</v>
      </c>
      <c r="R607" s="350">
        <v>500000</v>
      </c>
      <c r="S607" s="356">
        <v>675000</v>
      </c>
      <c r="T607" s="356">
        <f t="shared" ref="T607" si="104">R607+S607</f>
        <v>1175000</v>
      </c>
      <c r="U607" s="19"/>
      <c r="V607" s="19"/>
      <c r="W607" s="19"/>
      <c r="X607" s="19"/>
      <c r="Y607" s="165">
        <v>0.35</v>
      </c>
      <c r="Z607" s="376">
        <f t="shared" si="94"/>
        <v>411250</v>
      </c>
      <c r="AA607" s="19"/>
      <c r="AB607" s="376">
        <f t="shared" si="101"/>
        <v>705000</v>
      </c>
      <c r="AC607" s="38">
        <f t="shared" si="100"/>
        <v>293750</v>
      </c>
      <c r="AD607" s="19" t="s">
        <v>1746</v>
      </c>
    </row>
    <row r="608" spans="1:30" x14ac:dyDescent="0.25">
      <c r="A608" s="311">
        <v>605</v>
      </c>
      <c r="B608" s="22">
        <v>44023</v>
      </c>
      <c r="C608" s="629" t="s">
        <v>4930</v>
      </c>
      <c r="D608" s="148"/>
      <c r="E608" s="148" t="s">
        <v>2404</v>
      </c>
      <c r="F608" s="628">
        <v>106174655</v>
      </c>
      <c r="G608" s="10"/>
      <c r="H608" s="101"/>
      <c r="I608" s="148"/>
      <c r="J608" s="10"/>
      <c r="K608" s="10"/>
      <c r="L608" s="19"/>
      <c r="M608" s="13"/>
      <c r="N608" s="249"/>
      <c r="O608" s="628" t="s">
        <v>4917</v>
      </c>
      <c r="P608" s="628" t="s">
        <v>180</v>
      </c>
      <c r="Q608" s="19"/>
      <c r="R608" s="13"/>
      <c r="S608" s="19"/>
      <c r="T608" s="19"/>
      <c r="U608" s="19"/>
      <c r="V608" s="19"/>
      <c r="W608" s="19"/>
      <c r="X608" s="19"/>
      <c r="Y608" s="19"/>
      <c r="Z608" s="605">
        <f t="shared" ref="Z608:Z664" si="105">T608*Y608</f>
        <v>0</v>
      </c>
      <c r="AA608" s="19"/>
      <c r="AB608" s="605">
        <f t="shared" si="101"/>
        <v>0</v>
      </c>
      <c r="AC608" s="607">
        <f t="shared" si="100"/>
        <v>0</v>
      </c>
      <c r="AD608" s="19"/>
    </row>
    <row r="609" spans="1:30" s="217" customFormat="1" x14ac:dyDescent="0.25">
      <c r="A609" s="113">
        <v>606</v>
      </c>
      <c r="B609" s="239">
        <v>44023</v>
      </c>
      <c r="C609" s="675" t="s">
        <v>4931</v>
      </c>
      <c r="D609" s="242"/>
      <c r="E609" s="242" t="s">
        <v>2404</v>
      </c>
      <c r="F609" s="676" t="s">
        <v>4945</v>
      </c>
      <c r="G609" s="220"/>
      <c r="H609" s="244"/>
      <c r="I609" s="242"/>
      <c r="J609" s="220"/>
      <c r="K609" s="220"/>
      <c r="L609" s="220"/>
      <c r="M609" s="214"/>
      <c r="N609" s="399"/>
      <c r="O609" s="677" t="s">
        <v>4917</v>
      </c>
      <c r="P609" s="677" t="s">
        <v>180</v>
      </c>
      <c r="Q609" s="220"/>
      <c r="R609" s="214"/>
      <c r="S609" s="220"/>
      <c r="T609" s="220"/>
      <c r="U609" s="220"/>
      <c r="V609" s="220"/>
      <c r="W609" s="220"/>
      <c r="X609" s="220"/>
      <c r="Y609" s="220"/>
      <c r="Z609" s="605">
        <f t="shared" si="105"/>
        <v>0</v>
      </c>
      <c r="AA609" s="220"/>
      <c r="AB609" s="605">
        <f t="shared" si="101"/>
        <v>0</v>
      </c>
      <c r="AC609" s="605">
        <f t="shared" si="100"/>
        <v>0</v>
      </c>
      <c r="AD609" s="220"/>
    </row>
    <row r="610" spans="1:30" ht="47.25" x14ac:dyDescent="0.25">
      <c r="A610" s="74">
        <v>607</v>
      </c>
      <c r="B610" s="22">
        <v>44026</v>
      </c>
      <c r="C610" s="629" t="s">
        <v>4946</v>
      </c>
      <c r="D610" s="148" t="s">
        <v>3901</v>
      </c>
      <c r="E610" s="148" t="s">
        <v>3565</v>
      </c>
      <c r="F610" s="628" t="s">
        <v>4954</v>
      </c>
      <c r="G610" s="10"/>
      <c r="H610" s="101"/>
      <c r="I610" s="148"/>
      <c r="J610" s="10" t="s">
        <v>5060</v>
      </c>
      <c r="K610" s="10"/>
      <c r="L610" s="19"/>
      <c r="M610" s="13"/>
      <c r="N610" s="249"/>
      <c r="O610" s="628" t="s">
        <v>4917</v>
      </c>
      <c r="P610" s="628" t="s">
        <v>180</v>
      </c>
      <c r="Q610" s="634">
        <v>50</v>
      </c>
      <c r="R610" s="13"/>
      <c r="S610" s="19"/>
      <c r="T610" s="19"/>
      <c r="U610" s="19"/>
      <c r="V610" s="19"/>
      <c r="W610" s="19"/>
      <c r="X610" s="19"/>
      <c r="Y610" s="19"/>
      <c r="Z610" s="605">
        <f t="shared" si="105"/>
        <v>0</v>
      </c>
      <c r="AA610" s="19"/>
      <c r="AB610" s="605">
        <f t="shared" si="101"/>
        <v>0</v>
      </c>
      <c r="AC610" s="607">
        <f t="shared" si="100"/>
        <v>0</v>
      </c>
      <c r="AD610" s="19"/>
    </row>
    <row r="611" spans="1:30" ht="47.25" x14ac:dyDescent="0.25">
      <c r="A611" s="311">
        <v>608</v>
      </c>
      <c r="B611" s="22">
        <v>44026</v>
      </c>
      <c r="C611" s="629" t="s">
        <v>4947</v>
      </c>
      <c r="D611" s="148"/>
      <c r="E611" s="148" t="s">
        <v>3565</v>
      </c>
      <c r="F611" s="636" t="s">
        <v>5061</v>
      </c>
      <c r="G611" s="10"/>
      <c r="H611" s="101"/>
      <c r="I611" s="148" t="s">
        <v>5063</v>
      </c>
      <c r="J611" s="10" t="s">
        <v>5062</v>
      </c>
      <c r="K611" s="10"/>
      <c r="L611" s="19"/>
      <c r="M611" s="13"/>
      <c r="N611" s="249"/>
      <c r="O611" s="628" t="s">
        <v>4917</v>
      </c>
      <c r="P611" s="628" t="s">
        <v>180</v>
      </c>
      <c r="Q611" s="634">
        <v>50</v>
      </c>
      <c r="R611" s="13"/>
      <c r="S611" s="19"/>
      <c r="T611" s="19"/>
      <c r="U611" s="19"/>
      <c r="V611" s="19"/>
      <c r="W611" s="19"/>
      <c r="X611" s="19"/>
      <c r="Y611" s="19"/>
      <c r="Z611" s="605">
        <f t="shared" si="105"/>
        <v>0</v>
      </c>
      <c r="AA611" s="19"/>
      <c r="AB611" s="605">
        <f t="shared" si="101"/>
        <v>0</v>
      </c>
      <c r="AC611" s="607">
        <f t="shared" si="100"/>
        <v>0</v>
      </c>
      <c r="AD611" s="19"/>
    </row>
    <row r="612" spans="1:30" ht="30" x14ac:dyDescent="0.25">
      <c r="A612" s="113">
        <v>609</v>
      </c>
      <c r="B612" s="22">
        <v>44026</v>
      </c>
      <c r="C612" s="629" t="s">
        <v>4948</v>
      </c>
      <c r="D612" s="148"/>
      <c r="E612" s="148" t="s">
        <v>2404</v>
      </c>
      <c r="F612" s="636" t="s">
        <v>4955</v>
      </c>
      <c r="G612" s="10"/>
      <c r="H612" s="101"/>
      <c r="I612" s="148"/>
      <c r="J612" s="10"/>
      <c r="K612" s="10"/>
      <c r="L612" s="19"/>
      <c r="M612" s="13"/>
      <c r="N612" s="249"/>
      <c r="O612" s="628" t="s">
        <v>4917</v>
      </c>
      <c r="P612" s="628" t="s">
        <v>180</v>
      </c>
      <c r="Q612" s="634">
        <v>50</v>
      </c>
      <c r="R612" s="13"/>
      <c r="S612" s="19"/>
      <c r="T612" s="19"/>
      <c r="U612" s="19"/>
      <c r="V612" s="19"/>
      <c r="W612" s="19"/>
      <c r="X612" s="19"/>
      <c r="Y612" s="19"/>
      <c r="Z612" s="605">
        <f t="shared" si="105"/>
        <v>0</v>
      </c>
      <c r="AA612" s="19"/>
      <c r="AB612" s="605">
        <f t="shared" si="101"/>
        <v>0</v>
      </c>
      <c r="AC612" s="607">
        <f t="shared" si="100"/>
        <v>0</v>
      </c>
      <c r="AD612" s="19"/>
    </row>
    <row r="613" spans="1:30" s="272" customFormat="1" ht="30" x14ac:dyDescent="0.25">
      <c r="A613" s="74">
        <v>610</v>
      </c>
      <c r="B613" s="373">
        <v>44026</v>
      </c>
      <c r="C613" s="630" t="s">
        <v>1777</v>
      </c>
      <c r="D613" s="358"/>
      <c r="E613" s="358" t="s">
        <v>309</v>
      </c>
      <c r="F613" s="635" t="s">
        <v>1778</v>
      </c>
      <c r="G613" s="269"/>
      <c r="H613" s="335"/>
      <c r="I613" s="358"/>
      <c r="J613" s="269"/>
      <c r="K613" s="269"/>
      <c r="L613" s="266"/>
      <c r="M613" s="278"/>
      <c r="N613" s="439"/>
      <c r="O613" s="631" t="s">
        <v>4932</v>
      </c>
      <c r="P613" s="631" t="s">
        <v>180</v>
      </c>
      <c r="Q613" s="266">
        <v>500</v>
      </c>
      <c r="R613" s="278">
        <v>500000</v>
      </c>
      <c r="S613" s="266">
        <v>425000</v>
      </c>
      <c r="T613" s="266">
        <f t="shared" ref="T613" si="106">R613+S613</f>
        <v>925000</v>
      </c>
      <c r="U613" s="266"/>
      <c r="V613" s="266"/>
      <c r="W613" s="266"/>
      <c r="X613" s="266"/>
      <c r="Y613" s="271">
        <v>0.35</v>
      </c>
      <c r="Z613" s="605">
        <f t="shared" si="105"/>
        <v>323750</v>
      </c>
      <c r="AA613" s="266"/>
      <c r="AB613" s="605">
        <f t="shared" si="101"/>
        <v>555000</v>
      </c>
      <c r="AC613" s="607">
        <f t="shared" si="100"/>
        <v>231250</v>
      </c>
      <c r="AD613" s="266"/>
    </row>
    <row r="614" spans="1:30" s="272" customFormat="1" ht="47.25" x14ac:dyDescent="0.25">
      <c r="A614" s="311">
        <v>611</v>
      </c>
      <c r="B614" s="373">
        <v>44026</v>
      </c>
      <c r="C614" s="630" t="s">
        <v>4949</v>
      </c>
      <c r="D614" s="358" t="s">
        <v>4402</v>
      </c>
      <c r="E614" s="358" t="s">
        <v>3646</v>
      </c>
      <c r="F614" s="631">
        <v>105847900</v>
      </c>
      <c r="G614" s="269"/>
      <c r="H614" s="335"/>
      <c r="I614" s="358" t="s">
        <v>5064</v>
      </c>
      <c r="J614" s="498" t="s">
        <v>5065</v>
      </c>
      <c r="K614" s="269"/>
      <c r="L614" s="266"/>
      <c r="M614" s="278"/>
      <c r="N614" s="439"/>
      <c r="O614" s="631" t="s">
        <v>4959</v>
      </c>
      <c r="P614" s="631" t="s">
        <v>180</v>
      </c>
      <c r="Q614" s="266">
        <v>2000</v>
      </c>
      <c r="R614" s="278">
        <v>500000</v>
      </c>
      <c r="S614" s="266">
        <v>1100000</v>
      </c>
      <c r="T614" s="266">
        <v>1600000</v>
      </c>
      <c r="U614" s="271">
        <v>0.3</v>
      </c>
      <c r="V614" s="266"/>
      <c r="W614" s="266"/>
      <c r="X614" s="266"/>
      <c r="Y614" s="271">
        <v>0.3</v>
      </c>
      <c r="Z614" s="605">
        <f t="shared" si="105"/>
        <v>480000</v>
      </c>
      <c r="AA614" s="266"/>
      <c r="AB614" s="605">
        <f t="shared" si="101"/>
        <v>960000</v>
      </c>
      <c r="AC614" s="607">
        <f t="shared" si="100"/>
        <v>480000</v>
      </c>
      <c r="AD614" s="266"/>
    </row>
    <row r="615" spans="1:30" s="272" customFormat="1" ht="30" x14ac:dyDescent="0.25">
      <c r="A615" s="113">
        <v>612</v>
      </c>
      <c r="B615" s="373">
        <v>44026</v>
      </c>
      <c r="C615" s="630" t="s">
        <v>4950</v>
      </c>
      <c r="D615" s="358"/>
      <c r="E615" s="358" t="s">
        <v>2327</v>
      </c>
      <c r="F615" s="631">
        <v>109246918</v>
      </c>
      <c r="G615" s="269"/>
      <c r="H615" s="335"/>
      <c r="I615" s="358"/>
      <c r="J615" s="269"/>
      <c r="K615" s="269"/>
      <c r="L615" s="266"/>
      <c r="M615" s="278"/>
      <c r="N615" s="439"/>
      <c r="O615" s="631" t="s">
        <v>4918</v>
      </c>
      <c r="P615" s="631" t="s">
        <v>180</v>
      </c>
      <c r="Q615" s="507">
        <v>300</v>
      </c>
      <c r="R615" s="549">
        <v>500000</v>
      </c>
      <c r="S615" s="507">
        <v>300000</v>
      </c>
      <c r="T615" s="507">
        <v>800000</v>
      </c>
      <c r="U615" s="266"/>
      <c r="V615" s="266"/>
      <c r="W615" s="266"/>
      <c r="X615" s="266"/>
      <c r="Y615" s="271">
        <v>0.35</v>
      </c>
      <c r="Z615" s="605">
        <f t="shared" si="105"/>
        <v>280000</v>
      </c>
      <c r="AA615" s="266"/>
      <c r="AB615" s="605">
        <f t="shared" si="101"/>
        <v>480000</v>
      </c>
      <c r="AC615" s="607">
        <f t="shared" si="100"/>
        <v>200000</v>
      </c>
      <c r="AD615" s="266"/>
    </row>
    <row r="616" spans="1:30" s="272" customFormat="1" x14ac:dyDescent="0.25">
      <c r="A616" s="74">
        <v>613</v>
      </c>
      <c r="B616" s="373">
        <v>44026</v>
      </c>
      <c r="C616" s="630" t="s">
        <v>4951</v>
      </c>
      <c r="D616" s="358"/>
      <c r="E616" s="358" t="s">
        <v>2327</v>
      </c>
      <c r="F616" s="635" t="s">
        <v>4956</v>
      </c>
      <c r="G616" s="269"/>
      <c r="H616" s="335"/>
      <c r="I616" s="358"/>
      <c r="J616" s="269"/>
      <c r="K616" s="269"/>
      <c r="L616" s="266"/>
      <c r="M616" s="278"/>
      <c r="N616" s="439"/>
      <c r="O616" s="631" t="s">
        <v>4918</v>
      </c>
      <c r="P616" s="631" t="s">
        <v>180</v>
      </c>
      <c r="Q616" s="507">
        <v>300</v>
      </c>
      <c r="R616" s="549">
        <v>500000</v>
      </c>
      <c r="S616" s="507">
        <v>300000</v>
      </c>
      <c r="T616" s="507">
        <v>800000</v>
      </c>
      <c r="U616" s="266"/>
      <c r="V616" s="266"/>
      <c r="W616" s="266"/>
      <c r="X616" s="266"/>
      <c r="Y616" s="271">
        <v>0.35</v>
      </c>
      <c r="Z616" s="605">
        <f t="shared" si="105"/>
        <v>280000</v>
      </c>
      <c r="AA616" s="266"/>
      <c r="AB616" s="605">
        <f t="shared" si="101"/>
        <v>480000</v>
      </c>
      <c r="AC616" s="607">
        <f t="shared" si="100"/>
        <v>200000</v>
      </c>
      <c r="AD616" s="266"/>
    </row>
    <row r="617" spans="1:30" s="272" customFormat="1" x14ac:dyDescent="0.25">
      <c r="A617" s="311">
        <v>614</v>
      </c>
      <c r="B617" s="373">
        <v>44026</v>
      </c>
      <c r="C617" s="630" t="s">
        <v>4952</v>
      </c>
      <c r="D617" s="358"/>
      <c r="E617" s="358" t="s">
        <v>2327</v>
      </c>
      <c r="F617" s="635" t="s">
        <v>4957</v>
      </c>
      <c r="G617" s="269"/>
      <c r="H617" s="335"/>
      <c r="I617" s="358"/>
      <c r="J617" s="269"/>
      <c r="K617" s="269"/>
      <c r="L617" s="266"/>
      <c r="M617" s="278"/>
      <c r="N617" s="439"/>
      <c r="O617" s="631" t="s">
        <v>4918</v>
      </c>
      <c r="P617" s="631" t="s">
        <v>180</v>
      </c>
      <c r="Q617" s="507">
        <v>300</v>
      </c>
      <c r="R617" s="549">
        <v>500000</v>
      </c>
      <c r="S617" s="507">
        <v>300000</v>
      </c>
      <c r="T617" s="507">
        <v>800000</v>
      </c>
      <c r="U617" s="266"/>
      <c r="V617" s="266"/>
      <c r="W617" s="266"/>
      <c r="X617" s="266"/>
      <c r="Y617" s="271">
        <v>0.35</v>
      </c>
      <c r="Z617" s="605">
        <f t="shared" si="105"/>
        <v>280000</v>
      </c>
      <c r="AA617" s="266"/>
      <c r="AB617" s="605">
        <f t="shared" si="101"/>
        <v>480000</v>
      </c>
      <c r="AC617" s="607">
        <f t="shared" si="100"/>
        <v>200000</v>
      </c>
      <c r="AD617" s="266"/>
    </row>
    <row r="618" spans="1:30" s="272" customFormat="1" x14ac:dyDescent="0.25">
      <c r="A618" s="113">
        <v>615</v>
      </c>
      <c r="B618" s="373">
        <v>44026</v>
      </c>
      <c r="C618" s="630" t="s">
        <v>4953</v>
      </c>
      <c r="D618" s="358"/>
      <c r="E618" s="358" t="s">
        <v>309</v>
      </c>
      <c r="F618" s="635" t="s">
        <v>4958</v>
      </c>
      <c r="G618" s="269"/>
      <c r="H618" s="335"/>
      <c r="I618" s="358"/>
      <c r="J618" s="269"/>
      <c r="K618" s="269"/>
      <c r="L618" s="266"/>
      <c r="M618" s="278"/>
      <c r="N618" s="439"/>
      <c r="O618" s="631" t="s">
        <v>4918</v>
      </c>
      <c r="P618" s="631" t="s">
        <v>180</v>
      </c>
      <c r="Q618" s="507">
        <v>300</v>
      </c>
      <c r="R618" s="549">
        <v>500000</v>
      </c>
      <c r="S618" s="507">
        <v>300000</v>
      </c>
      <c r="T618" s="507">
        <v>800000</v>
      </c>
      <c r="U618" s="266"/>
      <c r="V618" s="266"/>
      <c r="W618" s="266"/>
      <c r="X618" s="266"/>
      <c r="Y618" s="271">
        <v>0.35</v>
      </c>
      <c r="Z618" s="605">
        <f t="shared" si="105"/>
        <v>280000</v>
      </c>
      <c r="AA618" s="266"/>
      <c r="AB618" s="605">
        <f t="shared" si="101"/>
        <v>480000</v>
      </c>
      <c r="AC618" s="607">
        <f t="shared" si="100"/>
        <v>200000</v>
      </c>
      <c r="AD618" s="266"/>
    </row>
    <row r="619" spans="1:30" ht="31.5" x14ac:dyDescent="0.25">
      <c r="A619" s="74">
        <v>616</v>
      </c>
      <c r="B619" s="22">
        <v>44027</v>
      </c>
      <c r="C619" s="148" t="s">
        <v>4960</v>
      </c>
      <c r="D619" s="148"/>
      <c r="E619" s="148" t="s">
        <v>3479</v>
      </c>
      <c r="F619" s="101" t="s">
        <v>4971</v>
      </c>
      <c r="G619" s="10"/>
      <c r="H619" s="101"/>
      <c r="I619" s="148"/>
      <c r="J619" s="10"/>
      <c r="K619" s="10"/>
      <c r="L619" s="19"/>
      <c r="M619" s="13"/>
      <c r="N619" s="249"/>
      <c r="O619" s="19" t="s">
        <v>4918</v>
      </c>
      <c r="P619" s="19" t="s">
        <v>180</v>
      </c>
      <c r="Q619" s="356">
        <v>300</v>
      </c>
      <c r="R619" s="350">
        <v>500000</v>
      </c>
      <c r="S619" s="356">
        <v>300000</v>
      </c>
      <c r="T619" s="356">
        <v>800000</v>
      </c>
      <c r="U619" s="19"/>
      <c r="V619" s="19"/>
      <c r="W619" s="19"/>
      <c r="X619" s="19"/>
      <c r="Y619" s="165">
        <v>0.35</v>
      </c>
      <c r="Z619" s="376">
        <f t="shared" si="105"/>
        <v>280000</v>
      </c>
      <c r="AA619" s="19"/>
      <c r="AB619" s="376">
        <f t="shared" si="101"/>
        <v>480000</v>
      </c>
      <c r="AC619" s="38">
        <f t="shared" si="100"/>
        <v>200000</v>
      </c>
      <c r="AD619" s="19" t="s">
        <v>4103</v>
      </c>
    </row>
    <row r="620" spans="1:30" ht="47.25" x14ac:dyDescent="0.25">
      <c r="A620" s="311">
        <v>617</v>
      </c>
      <c r="B620" s="22">
        <v>44027</v>
      </c>
      <c r="C620" s="148" t="s">
        <v>4961</v>
      </c>
      <c r="D620" s="148" t="s">
        <v>4402</v>
      </c>
      <c r="E620" s="148" t="s">
        <v>3646</v>
      </c>
      <c r="F620" s="101" t="s">
        <v>4972</v>
      </c>
      <c r="G620" s="10"/>
      <c r="H620" s="101"/>
      <c r="I620" s="148" t="s">
        <v>5067</v>
      </c>
      <c r="J620" s="10" t="s">
        <v>5066</v>
      </c>
      <c r="K620" s="10"/>
      <c r="L620" s="19"/>
      <c r="M620" s="13"/>
      <c r="N620" s="249"/>
      <c r="O620" s="19" t="s">
        <v>4917</v>
      </c>
      <c r="P620" s="19" t="s">
        <v>180</v>
      </c>
      <c r="Q620" s="19"/>
      <c r="R620" s="13"/>
      <c r="S620" s="19"/>
      <c r="T620" s="19"/>
      <c r="U620" s="19"/>
      <c r="V620" s="19"/>
      <c r="W620" s="19"/>
      <c r="X620" s="19"/>
      <c r="Y620" s="19"/>
      <c r="Z620" s="376">
        <f t="shared" si="105"/>
        <v>0</v>
      </c>
      <c r="AA620" s="19"/>
      <c r="AB620" s="376">
        <f t="shared" si="101"/>
        <v>0</v>
      </c>
      <c r="AC620" s="38">
        <f t="shared" si="100"/>
        <v>0</v>
      </c>
      <c r="AD620" s="19"/>
    </row>
    <row r="621" spans="1:30" ht="47.25" x14ac:dyDescent="0.25">
      <c r="A621" s="113">
        <v>618</v>
      </c>
      <c r="B621" s="22">
        <v>44027</v>
      </c>
      <c r="C621" s="148" t="s">
        <v>4962</v>
      </c>
      <c r="D621" s="148" t="s">
        <v>2835</v>
      </c>
      <c r="E621" s="148" t="s">
        <v>3646</v>
      </c>
      <c r="F621" s="101" t="s">
        <v>4973</v>
      </c>
      <c r="G621" s="10"/>
      <c r="H621" s="101"/>
      <c r="I621" s="148" t="s">
        <v>5068</v>
      </c>
      <c r="J621" s="10" t="s">
        <v>5069</v>
      </c>
      <c r="K621" s="10"/>
      <c r="L621" s="19"/>
      <c r="M621" s="13"/>
      <c r="N621" s="249"/>
      <c r="O621" s="19" t="s">
        <v>4917</v>
      </c>
      <c r="P621" s="19" t="s">
        <v>180</v>
      </c>
      <c r="Q621" s="19"/>
      <c r="R621" s="13"/>
      <c r="S621" s="19"/>
      <c r="T621" s="19"/>
      <c r="U621" s="19"/>
      <c r="V621" s="19"/>
      <c r="W621" s="19"/>
      <c r="X621" s="19"/>
      <c r="Y621" s="19"/>
      <c r="Z621" s="376">
        <f t="shared" si="105"/>
        <v>0</v>
      </c>
      <c r="AA621" s="19"/>
      <c r="AB621" s="376">
        <f t="shared" si="101"/>
        <v>0</v>
      </c>
      <c r="AC621" s="38">
        <f t="shared" si="100"/>
        <v>0</v>
      </c>
      <c r="AD621" s="19"/>
    </row>
    <row r="622" spans="1:30" ht="31.5" x14ac:dyDescent="0.25">
      <c r="A622" s="74">
        <v>619</v>
      </c>
      <c r="B622" s="22">
        <v>44027</v>
      </c>
      <c r="C622" s="148" t="s">
        <v>4963</v>
      </c>
      <c r="D622" s="148"/>
      <c r="E622" s="148" t="s">
        <v>2404</v>
      </c>
      <c r="F622" s="101" t="s">
        <v>4974</v>
      </c>
      <c r="G622" s="10"/>
      <c r="H622" s="101"/>
      <c r="I622" s="148"/>
      <c r="J622" s="10"/>
      <c r="K622" s="10"/>
      <c r="L622" s="19"/>
      <c r="M622" s="13"/>
      <c r="N622" s="249"/>
      <c r="O622" s="19" t="s">
        <v>4917</v>
      </c>
      <c r="P622" s="19" t="s">
        <v>180</v>
      </c>
      <c r="Q622" s="19"/>
      <c r="R622" s="13"/>
      <c r="S622" s="19"/>
      <c r="T622" s="19"/>
      <c r="U622" s="19"/>
      <c r="V622" s="19"/>
      <c r="W622" s="19"/>
      <c r="X622" s="19"/>
      <c r="Y622" s="19"/>
      <c r="Z622" s="376">
        <f t="shared" si="105"/>
        <v>0</v>
      </c>
      <c r="AA622" s="19"/>
      <c r="AB622" s="376">
        <f t="shared" si="101"/>
        <v>0</v>
      </c>
      <c r="AC622" s="38">
        <f t="shared" si="100"/>
        <v>0</v>
      </c>
      <c r="AD622" s="19"/>
    </row>
    <row r="623" spans="1:30" ht="31.5" x14ac:dyDescent="0.25">
      <c r="A623" s="311">
        <v>620</v>
      </c>
      <c r="B623" s="22">
        <v>44027</v>
      </c>
      <c r="C623" s="148" t="s">
        <v>4964</v>
      </c>
      <c r="D623" s="148"/>
      <c r="E623" s="148" t="s">
        <v>2404</v>
      </c>
      <c r="F623" s="101" t="s">
        <v>4975</v>
      </c>
      <c r="G623" s="10"/>
      <c r="H623" s="101"/>
      <c r="I623" s="148"/>
      <c r="J623" s="10"/>
      <c r="K623" s="10"/>
      <c r="L623" s="19"/>
      <c r="M623" s="13"/>
      <c r="N623" s="249"/>
      <c r="O623" s="19" t="s">
        <v>4917</v>
      </c>
      <c r="P623" s="19" t="s">
        <v>180</v>
      </c>
      <c r="Q623" s="19"/>
      <c r="R623" s="13"/>
      <c r="S623" s="19"/>
      <c r="T623" s="19"/>
      <c r="U623" s="19"/>
      <c r="V623" s="19"/>
      <c r="W623" s="19"/>
      <c r="X623" s="19"/>
      <c r="Y623" s="19"/>
      <c r="Z623" s="376">
        <f t="shared" si="105"/>
        <v>0</v>
      </c>
      <c r="AA623" s="19"/>
      <c r="AB623" s="376">
        <f t="shared" si="101"/>
        <v>0</v>
      </c>
      <c r="AC623" s="38">
        <f t="shared" si="100"/>
        <v>0</v>
      </c>
      <c r="AD623" s="19"/>
    </row>
    <row r="624" spans="1:30" ht="47.25" x14ac:dyDescent="0.25">
      <c r="A624" s="113">
        <v>621</v>
      </c>
      <c r="B624" s="22">
        <v>44027</v>
      </c>
      <c r="C624" s="148" t="s">
        <v>4965</v>
      </c>
      <c r="D624" s="148"/>
      <c r="E624" s="148" t="s">
        <v>2404</v>
      </c>
      <c r="F624" s="101" t="s">
        <v>4976</v>
      </c>
      <c r="G624" s="10"/>
      <c r="H624" s="101"/>
      <c r="I624" s="148"/>
      <c r="J624" s="10"/>
      <c r="K624" s="10"/>
      <c r="L624" s="19"/>
      <c r="M624" s="13"/>
      <c r="N624" s="249"/>
      <c r="O624" s="19" t="s">
        <v>4917</v>
      </c>
      <c r="P624" s="19" t="s">
        <v>180</v>
      </c>
      <c r="Q624" s="19"/>
      <c r="R624" s="13"/>
      <c r="S624" s="19"/>
      <c r="T624" s="19"/>
      <c r="U624" s="19"/>
      <c r="V624" s="19"/>
      <c r="W624" s="19"/>
      <c r="X624" s="19"/>
      <c r="Y624" s="19"/>
      <c r="Z624" s="376">
        <f t="shared" si="105"/>
        <v>0</v>
      </c>
      <c r="AA624" s="19"/>
      <c r="AB624" s="376">
        <f t="shared" si="101"/>
        <v>0</v>
      </c>
      <c r="AC624" s="38">
        <f t="shared" si="100"/>
        <v>0</v>
      </c>
      <c r="AD624" s="19"/>
    </row>
    <row r="625" spans="1:30" x14ac:dyDescent="0.25">
      <c r="A625" s="74">
        <v>622</v>
      </c>
      <c r="B625" s="22">
        <v>44027</v>
      </c>
      <c r="C625" s="148" t="s">
        <v>4966</v>
      </c>
      <c r="D625" s="148" t="s">
        <v>309</v>
      </c>
      <c r="E625" s="148"/>
      <c r="F625" s="101" t="s">
        <v>4977</v>
      </c>
      <c r="G625" s="10"/>
      <c r="H625" s="101"/>
      <c r="I625" s="148"/>
      <c r="J625" s="10"/>
      <c r="K625" s="10"/>
      <c r="L625" s="19"/>
      <c r="M625" s="13"/>
      <c r="N625" s="249"/>
      <c r="O625" s="19" t="s">
        <v>4917</v>
      </c>
      <c r="P625" s="19" t="s">
        <v>180</v>
      </c>
      <c r="Q625" s="19"/>
      <c r="R625" s="13"/>
      <c r="S625" s="19"/>
      <c r="T625" s="19"/>
      <c r="U625" s="19"/>
      <c r="V625" s="19"/>
      <c r="W625" s="19"/>
      <c r="X625" s="19"/>
      <c r="Y625" s="19"/>
      <c r="Z625" s="376">
        <f t="shared" si="105"/>
        <v>0</v>
      </c>
      <c r="AA625" s="19"/>
      <c r="AB625" s="376">
        <f t="shared" si="101"/>
        <v>0</v>
      </c>
      <c r="AC625" s="38">
        <f t="shared" si="100"/>
        <v>0</v>
      </c>
      <c r="AD625" s="19"/>
    </row>
    <row r="626" spans="1:30" s="272" customFormat="1" x14ac:dyDescent="0.25">
      <c r="A626" s="311">
        <v>623</v>
      </c>
      <c r="B626" s="373">
        <v>44027</v>
      </c>
      <c r="C626" s="358" t="s">
        <v>4967</v>
      </c>
      <c r="D626" s="358"/>
      <c r="E626" s="358" t="s">
        <v>3479</v>
      </c>
      <c r="F626" s="335" t="s">
        <v>4978</v>
      </c>
      <c r="G626" s="269"/>
      <c r="H626" s="335"/>
      <c r="I626" s="358"/>
      <c r="J626" s="269"/>
      <c r="K626" s="269"/>
      <c r="L626" s="266"/>
      <c r="M626" s="278"/>
      <c r="N626" s="439"/>
      <c r="O626" s="266" t="s">
        <v>4918</v>
      </c>
      <c r="P626" s="266" t="s">
        <v>180</v>
      </c>
      <c r="Q626" s="507">
        <v>300</v>
      </c>
      <c r="R626" s="549">
        <v>500000</v>
      </c>
      <c r="S626" s="507">
        <v>300000</v>
      </c>
      <c r="T626" s="507">
        <v>800000</v>
      </c>
      <c r="U626" s="266"/>
      <c r="V626" s="266"/>
      <c r="W626" s="266"/>
      <c r="X626" s="266"/>
      <c r="Y626" s="271">
        <v>0.35</v>
      </c>
      <c r="Z626" s="605">
        <f t="shared" si="105"/>
        <v>280000</v>
      </c>
      <c r="AA626" s="266"/>
      <c r="AB626" s="605">
        <f t="shared" si="101"/>
        <v>480000</v>
      </c>
      <c r="AC626" s="607">
        <f t="shared" si="100"/>
        <v>200000</v>
      </c>
      <c r="AD626" s="266"/>
    </row>
    <row r="627" spans="1:30" ht="63" x14ac:dyDescent="0.25">
      <c r="A627" s="113">
        <v>624</v>
      </c>
      <c r="B627" s="22">
        <v>44027</v>
      </c>
      <c r="C627" s="148" t="s">
        <v>4968</v>
      </c>
      <c r="D627" s="148" t="s">
        <v>502</v>
      </c>
      <c r="E627" s="148" t="s">
        <v>3646</v>
      </c>
      <c r="F627" s="101" t="s">
        <v>4979</v>
      </c>
      <c r="G627" s="10"/>
      <c r="H627" s="101" t="s">
        <v>345</v>
      </c>
      <c r="I627" s="148" t="s">
        <v>5070</v>
      </c>
      <c r="J627" s="37" t="s">
        <v>5041</v>
      </c>
      <c r="K627" s="310" t="s">
        <v>5040</v>
      </c>
      <c r="L627" s="19"/>
      <c r="M627" s="13"/>
      <c r="N627" s="249"/>
      <c r="O627" s="19" t="s">
        <v>4932</v>
      </c>
      <c r="P627" s="19" t="s">
        <v>180</v>
      </c>
      <c r="Q627" s="19">
        <v>500</v>
      </c>
      <c r="R627" s="13">
        <v>500000</v>
      </c>
      <c r="S627" s="19">
        <v>425000</v>
      </c>
      <c r="T627" s="19">
        <f t="shared" ref="T627" si="107">R627+S627</f>
        <v>925000</v>
      </c>
      <c r="U627" s="19"/>
      <c r="V627" s="19"/>
      <c r="W627" s="19"/>
      <c r="X627" s="19"/>
      <c r="Y627" s="165">
        <v>0.35</v>
      </c>
      <c r="Z627" s="376">
        <f t="shared" si="105"/>
        <v>323750</v>
      </c>
      <c r="AA627" s="19"/>
      <c r="AB627" s="376">
        <f t="shared" si="101"/>
        <v>555000</v>
      </c>
      <c r="AC627" s="38">
        <f t="shared" si="100"/>
        <v>231250</v>
      </c>
      <c r="AD627" s="19"/>
    </row>
    <row r="628" spans="1:30" s="272" customFormat="1" x14ac:dyDescent="0.25">
      <c r="A628" s="74">
        <v>625</v>
      </c>
      <c r="B628" s="373">
        <v>44027</v>
      </c>
      <c r="C628" s="358" t="s">
        <v>4966</v>
      </c>
      <c r="E628" s="358" t="s">
        <v>309</v>
      </c>
      <c r="F628" s="335" t="s">
        <v>4977</v>
      </c>
      <c r="G628" s="269"/>
      <c r="H628" s="335"/>
      <c r="I628" s="358"/>
      <c r="J628" s="269"/>
      <c r="K628" s="269"/>
      <c r="L628" s="266"/>
      <c r="M628" s="278"/>
      <c r="N628" s="439"/>
      <c r="O628" s="266" t="s">
        <v>4918</v>
      </c>
      <c r="P628" s="266" t="s">
        <v>94</v>
      </c>
      <c r="Q628" s="507">
        <v>300</v>
      </c>
      <c r="R628" s="549">
        <v>500000</v>
      </c>
      <c r="S628" s="507">
        <v>300000</v>
      </c>
      <c r="T628" s="507">
        <v>800000</v>
      </c>
      <c r="U628" s="266"/>
      <c r="V628" s="266"/>
      <c r="W628" s="266"/>
      <c r="X628" s="266"/>
      <c r="Y628" s="271">
        <v>0.35</v>
      </c>
      <c r="Z628" s="605">
        <f t="shared" si="105"/>
        <v>280000</v>
      </c>
      <c r="AA628" s="266"/>
      <c r="AB628" s="605">
        <f t="shared" si="101"/>
        <v>480000</v>
      </c>
      <c r="AC628" s="607">
        <f t="shared" si="100"/>
        <v>200000</v>
      </c>
      <c r="AD628" s="266"/>
    </row>
    <row r="629" spans="1:30" s="272" customFormat="1" ht="31.5" x14ac:dyDescent="0.25">
      <c r="A629" s="311">
        <v>626</v>
      </c>
      <c r="B629" s="373">
        <v>44027</v>
      </c>
      <c r="C629" s="358" t="s">
        <v>4969</v>
      </c>
      <c r="D629" s="358"/>
      <c r="E629" s="358" t="s">
        <v>2404</v>
      </c>
      <c r="F629" s="335" t="s">
        <v>4980</v>
      </c>
      <c r="G629" s="269"/>
      <c r="H629" s="335"/>
      <c r="I629" s="358"/>
      <c r="J629" s="269"/>
      <c r="K629" s="269"/>
      <c r="L629" s="266"/>
      <c r="M629" s="278"/>
      <c r="N629" s="439"/>
      <c r="O629" s="266" t="s">
        <v>4918</v>
      </c>
      <c r="P629" s="266" t="s">
        <v>180</v>
      </c>
      <c r="Q629" s="507">
        <v>300</v>
      </c>
      <c r="R629" s="549">
        <v>500000</v>
      </c>
      <c r="S629" s="507">
        <v>300000</v>
      </c>
      <c r="T629" s="507">
        <v>800000</v>
      </c>
      <c r="U629" s="266"/>
      <c r="V629" s="266"/>
      <c r="W629" s="266"/>
      <c r="X629" s="266"/>
      <c r="Y629" s="271">
        <v>0.35</v>
      </c>
      <c r="Z629" s="605">
        <f t="shared" si="105"/>
        <v>280000</v>
      </c>
      <c r="AA629" s="266"/>
      <c r="AB629" s="605">
        <f t="shared" si="101"/>
        <v>480000</v>
      </c>
      <c r="AC629" s="607">
        <f t="shared" ref="AC629:AC686" si="108">AB629-Z629</f>
        <v>200000</v>
      </c>
      <c r="AD629" s="266"/>
    </row>
    <row r="630" spans="1:30" ht="31.5" x14ac:dyDescent="0.25">
      <c r="A630" s="113">
        <v>627</v>
      </c>
      <c r="B630" s="22">
        <v>44027</v>
      </c>
      <c r="C630" s="148" t="s">
        <v>4970</v>
      </c>
      <c r="D630" s="148"/>
      <c r="E630" s="148" t="s">
        <v>2404</v>
      </c>
      <c r="F630" s="101" t="s">
        <v>4981</v>
      </c>
      <c r="G630" s="10"/>
      <c r="H630" s="101"/>
      <c r="I630" s="148"/>
      <c r="J630" s="10"/>
      <c r="K630" s="10"/>
      <c r="L630" s="19"/>
      <c r="M630" s="13"/>
      <c r="N630" s="249"/>
      <c r="O630" s="19" t="s">
        <v>4917</v>
      </c>
      <c r="P630" s="19" t="s">
        <v>180</v>
      </c>
      <c r="Q630" s="19"/>
      <c r="R630" s="13"/>
      <c r="S630" s="19"/>
      <c r="T630" s="19"/>
      <c r="U630" s="19"/>
      <c r="V630" s="19"/>
      <c r="W630" s="19"/>
      <c r="X630" s="19"/>
      <c r="Y630" s="19"/>
      <c r="Z630" s="376">
        <f t="shared" si="105"/>
        <v>0</v>
      </c>
      <c r="AA630" s="19"/>
      <c r="AB630" s="376">
        <f t="shared" si="101"/>
        <v>0</v>
      </c>
      <c r="AC630" s="38">
        <f t="shared" si="108"/>
        <v>0</v>
      </c>
      <c r="AD630" s="19"/>
    </row>
    <row r="631" spans="1:30" ht="31.5" x14ac:dyDescent="0.25">
      <c r="A631" s="74">
        <v>628</v>
      </c>
      <c r="B631" s="22">
        <v>44027</v>
      </c>
      <c r="C631" s="148" t="s">
        <v>3420</v>
      </c>
      <c r="D631" s="148"/>
      <c r="E631" s="148"/>
      <c r="F631" s="101" t="s">
        <v>4982</v>
      </c>
      <c r="G631" s="10"/>
      <c r="H631" s="101"/>
      <c r="I631" s="148"/>
      <c r="J631" s="10"/>
      <c r="K631" s="10"/>
      <c r="L631" s="19"/>
      <c r="M631" s="13"/>
      <c r="N631" s="249"/>
      <c r="O631" s="19" t="s">
        <v>4917</v>
      </c>
      <c r="P631" s="19" t="s">
        <v>180</v>
      </c>
      <c r="Q631" s="19"/>
      <c r="R631" s="13"/>
      <c r="S631" s="19"/>
      <c r="T631" s="19"/>
      <c r="U631" s="19"/>
      <c r="V631" s="19"/>
      <c r="W631" s="19"/>
      <c r="X631" s="19"/>
      <c r="Y631" s="19"/>
      <c r="Z631" s="376">
        <f t="shared" si="105"/>
        <v>0</v>
      </c>
      <c r="AA631" s="19"/>
      <c r="AB631" s="376">
        <f t="shared" si="101"/>
        <v>0</v>
      </c>
      <c r="AC631" s="38">
        <f t="shared" si="108"/>
        <v>0</v>
      </c>
      <c r="AD631" s="19"/>
    </row>
    <row r="632" spans="1:30" s="272" customFormat="1" ht="31.5" x14ac:dyDescent="0.25">
      <c r="A632" s="311">
        <v>629</v>
      </c>
      <c r="B632" s="373">
        <v>44028</v>
      </c>
      <c r="C632" s="358" t="s">
        <v>4887</v>
      </c>
      <c r="D632" s="358" t="s">
        <v>474</v>
      </c>
      <c r="E632" s="358" t="s">
        <v>3646</v>
      </c>
      <c r="F632" s="631" t="s">
        <v>4889</v>
      </c>
      <c r="G632" s="269"/>
      <c r="H632" s="335"/>
      <c r="I632" s="358"/>
      <c r="J632" s="269"/>
      <c r="K632" s="269"/>
      <c r="L632" s="266"/>
      <c r="M632" s="278"/>
      <c r="N632" s="439"/>
      <c r="O632" s="266" t="s">
        <v>4918</v>
      </c>
      <c r="P632" s="266" t="s">
        <v>180</v>
      </c>
      <c r="Q632" s="507">
        <v>300</v>
      </c>
      <c r="R632" s="549">
        <v>500000</v>
      </c>
      <c r="S632" s="507">
        <v>300000</v>
      </c>
      <c r="T632" s="507">
        <v>800000</v>
      </c>
      <c r="U632" s="266"/>
      <c r="V632" s="266"/>
      <c r="W632" s="266"/>
      <c r="X632" s="266"/>
      <c r="Y632" s="271">
        <v>0.4</v>
      </c>
      <c r="Z632" s="605">
        <f t="shared" si="105"/>
        <v>320000</v>
      </c>
      <c r="AA632" s="266"/>
      <c r="AB632" s="605">
        <f t="shared" si="101"/>
        <v>480000</v>
      </c>
      <c r="AC632" s="607">
        <f t="shared" si="108"/>
        <v>160000</v>
      </c>
      <c r="AD632" s="266"/>
    </row>
    <row r="633" spans="1:30" s="272" customFormat="1" ht="31.5" x14ac:dyDescent="0.25">
      <c r="A633" s="113">
        <v>630</v>
      </c>
      <c r="B633" s="373">
        <v>44028</v>
      </c>
      <c r="C633" s="358" t="s">
        <v>4884</v>
      </c>
      <c r="D633" s="358" t="s">
        <v>309</v>
      </c>
      <c r="E633" s="358"/>
      <c r="F633" s="631" t="s">
        <v>4885</v>
      </c>
      <c r="G633" s="269"/>
      <c r="H633" s="335"/>
      <c r="I633" s="358"/>
      <c r="J633" s="269"/>
      <c r="K633" s="269"/>
      <c r="L633" s="266"/>
      <c r="M633" s="278"/>
      <c r="N633" s="439"/>
      <c r="O633" s="266" t="s">
        <v>4918</v>
      </c>
      <c r="P633" s="266" t="s">
        <v>180</v>
      </c>
      <c r="Q633" s="507">
        <v>300</v>
      </c>
      <c r="R633" s="549">
        <v>500000</v>
      </c>
      <c r="S633" s="507">
        <v>300000</v>
      </c>
      <c r="T633" s="507">
        <v>800000</v>
      </c>
      <c r="U633" s="266"/>
      <c r="V633" s="266"/>
      <c r="W633" s="266"/>
      <c r="X633" s="266"/>
      <c r="Y633" s="271">
        <v>0.35</v>
      </c>
      <c r="Z633" s="605">
        <f t="shared" si="105"/>
        <v>280000</v>
      </c>
      <c r="AA633" s="266"/>
      <c r="AB633" s="605">
        <f t="shared" ref="AB633:AB690" si="109">T633*0.6</f>
        <v>480000</v>
      </c>
      <c r="AC633" s="607">
        <f t="shared" si="108"/>
        <v>200000</v>
      </c>
      <c r="AD633" s="266"/>
    </row>
    <row r="634" spans="1:30" s="272" customFormat="1" ht="31.5" x14ac:dyDescent="0.25">
      <c r="A634" s="74">
        <v>631</v>
      </c>
      <c r="B634" s="373">
        <v>44028</v>
      </c>
      <c r="C634" s="358" t="s">
        <v>4877</v>
      </c>
      <c r="D634" s="358" t="s">
        <v>309</v>
      </c>
      <c r="E634" s="358"/>
      <c r="F634" s="635" t="s">
        <v>4879</v>
      </c>
      <c r="G634" s="269"/>
      <c r="H634" s="335"/>
      <c r="I634" s="358"/>
      <c r="J634" s="269"/>
      <c r="K634" s="269"/>
      <c r="L634" s="266"/>
      <c r="M634" s="278"/>
      <c r="N634" s="439"/>
      <c r="O634" s="266" t="s">
        <v>4918</v>
      </c>
      <c r="P634" s="266" t="s">
        <v>180</v>
      </c>
      <c r="Q634" s="507">
        <v>300</v>
      </c>
      <c r="R634" s="549">
        <v>500000</v>
      </c>
      <c r="S634" s="507">
        <v>300000</v>
      </c>
      <c r="T634" s="507">
        <v>800000</v>
      </c>
      <c r="U634" s="266"/>
      <c r="V634" s="266"/>
      <c r="W634" s="266"/>
      <c r="X634" s="266"/>
      <c r="Y634" s="271">
        <v>0.35</v>
      </c>
      <c r="Z634" s="605">
        <f t="shared" si="105"/>
        <v>280000</v>
      </c>
      <c r="AA634" s="266"/>
      <c r="AB634" s="605">
        <f t="shared" si="109"/>
        <v>480000</v>
      </c>
      <c r="AC634" s="607">
        <f t="shared" si="108"/>
        <v>200000</v>
      </c>
      <c r="AD634" s="266"/>
    </row>
    <row r="635" spans="1:30" ht="31.5" x14ac:dyDescent="0.25">
      <c r="A635" s="311">
        <v>632</v>
      </c>
      <c r="B635" s="22">
        <v>44028</v>
      </c>
      <c r="C635" s="148" t="s">
        <v>4983</v>
      </c>
      <c r="D635" s="148"/>
      <c r="E635" s="148" t="s">
        <v>2404</v>
      </c>
      <c r="F635" s="636" t="s">
        <v>4995</v>
      </c>
      <c r="G635" s="10"/>
      <c r="H635" s="101"/>
      <c r="I635" s="148"/>
      <c r="J635" s="10"/>
      <c r="K635" s="10"/>
      <c r="L635" s="19"/>
      <c r="M635" s="13"/>
      <c r="N635" s="249"/>
      <c r="O635" s="19" t="s">
        <v>4917</v>
      </c>
      <c r="P635" s="19" t="s">
        <v>180</v>
      </c>
      <c r="Q635" s="19"/>
      <c r="R635" s="13"/>
      <c r="S635" s="19"/>
      <c r="T635" s="19"/>
      <c r="U635" s="19"/>
      <c r="V635" s="19"/>
      <c r="W635" s="19"/>
      <c r="X635" s="19"/>
      <c r="Y635" s="19"/>
      <c r="Z635" s="605">
        <f t="shared" si="105"/>
        <v>0</v>
      </c>
      <c r="AA635" s="19"/>
      <c r="AB635" s="605">
        <f t="shared" si="109"/>
        <v>0</v>
      </c>
      <c r="AC635" s="607">
        <f t="shared" si="108"/>
        <v>0</v>
      </c>
      <c r="AD635" s="19"/>
    </row>
    <row r="636" spans="1:30" ht="47.25" x14ac:dyDescent="0.25">
      <c r="A636" s="113">
        <v>633</v>
      </c>
      <c r="B636" s="22">
        <v>44028</v>
      </c>
      <c r="C636" s="148" t="s">
        <v>4480</v>
      </c>
      <c r="D636" s="148" t="s">
        <v>5038</v>
      </c>
      <c r="E636" s="148" t="s">
        <v>3646</v>
      </c>
      <c r="F636" s="636" t="s">
        <v>4482</v>
      </c>
      <c r="G636" s="10"/>
      <c r="H636" s="101"/>
      <c r="I636" s="148"/>
      <c r="J636" s="10" t="s">
        <v>5039</v>
      </c>
      <c r="K636" s="10"/>
      <c r="L636" s="19"/>
      <c r="M636" s="13"/>
      <c r="N636" s="249"/>
      <c r="O636" s="19" t="s">
        <v>4917</v>
      </c>
      <c r="P636" s="19" t="s">
        <v>180</v>
      </c>
      <c r="Q636" s="19"/>
      <c r="R636" s="13"/>
      <c r="S636" s="19"/>
      <c r="T636" s="19"/>
      <c r="U636" s="19"/>
      <c r="V636" s="19"/>
      <c r="W636" s="19"/>
      <c r="X636" s="19"/>
      <c r="Y636" s="19"/>
      <c r="Z636" s="605">
        <f t="shared" si="105"/>
        <v>0</v>
      </c>
      <c r="AA636" s="19"/>
      <c r="AB636" s="605">
        <f t="shared" si="109"/>
        <v>0</v>
      </c>
      <c r="AC636" s="607">
        <f t="shared" si="108"/>
        <v>0</v>
      </c>
      <c r="AD636" s="19"/>
    </row>
    <row r="637" spans="1:30" s="272" customFormat="1" ht="47.25" x14ac:dyDescent="0.25">
      <c r="A637" s="74">
        <v>634</v>
      </c>
      <c r="B637" s="373">
        <v>44028</v>
      </c>
      <c r="C637" s="358" t="s">
        <v>4984</v>
      </c>
      <c r="D637" s="358" t="s">
        <v>3551</v>
      </c>
      <c r="E637" s="358" t="s">
        <v>3646</v>
      </c>
      <c r="F637" s="631">
        <v>106190696</v>
      </c>
      <c r="G637" s="269"/>
      <c r="H637" s="335" t="s">
        <v>168</v>
      </c>
      <c r="I637" s="358" t="s">
        <v>5071</v>
      </c>
      <c r="J637" s="498" t="s">
        <v>5037</v>
      </c>
      <c r="K637" s="269"/>
      <c r="L637" s="266"/>
      <c r="M637" s="278"/>
      <c r="N637" s="439"/>
      <c r="O637" s="266" t="s">
        <v>4918</v>
      </c>
      <c r="P637" s="266" t="s">
        <v>180</v>
      </c>
      <c r="Q637" s="507">
        <v>300</v>
      </c>
      <c r="R637" s="549">
        <v>500000</v>
      </c>
      <c r="S637" s="507">
        <v>300000</v>
      </c>
      <c r="T637" s="507">
        <v>800000</v>
      </c>
      <c r="U637" s="266"/>
      <c r="V637" s="266"/>
      <c r="W637" s="266"/>
      <c r="X637" s="266"/>
      <c r="Y637" s="271">
        <v>0.35</v>
      </c>
      <c r="Z637" s="605">
        <f t="shared" si="105"/>
        <v>280000</v>
      </c>
      <c r="AA637" s="266"/>
      <c r="AB637" s="605">
        <f t="shared" si="109"/>
        <v>480000</v>
      </c>
      <c r="AC637" s="607">
        <f t="shared" si="108"/>
        <v>200000</v>
      </c>
      <c r="AD637" s="266"/>
    </row>
    <row r="638" spans="1:30" s="272" customFormat="1" ht="47.25" x14ac:dyDescent="0.25">
      <c r="A638" s="311">
        <v>635</v>
      </c>
      <c r="B638" s="373">
        <v>44028</v>
      </c>
      <c r="C638" s="358" t="s">
        <v>4985</v>
      </c>
      <c r="E638" s="358" t="s">
        <v>457</v>
      </c>
      <c r="F638" s="635" t="s">
        <v>4996</v>
      </c>
      <c r="G638" s="269"/>
      <c r="H638" s="335" t="s">
        <v>273</v>
      </c>
      <c r="I638" s="358" t="s">
        <v>5034</v>
      </c>
      <c r="J638" s="269" t="s">
        <v>5035</v>
      </c>
      <c r="K638" s="208" t="s">
        <v>5036</v>
      </c>
      <c r="L638" s="266"/>
      <c r="M638" s="278"/>
      <c r="N638" s="439"/>
      <c r="O638" s="266" t="s">
        <v>4918</v>
      </c>
      <c r="P638" s="266" t="s">
        <v>180</v>
      </c>
      <c r="Q638" s="507">
        <v>300</v>
      </c>
      <c r="R638" s="549">
        <v>500000</v>
      </c>
      <c r="S638" s="507">
        <v>300000</v>
      </c>
      <c r="T638" s="507">
        <v>800000</v>
      </c>
      <c r="U638" s="266"/>
      <c r="V638" s="266"/>
      <c r="W638" s="266"/>
      <c r="X638" s="266"/>
      <c r="Y638" s="271">
        <v>0.35</v>
      </c>
      <c r="Z638" s="605">
        <f t="shared" si="105"/>
        <v>280000</v>
      </c>
      <c r="AA638" s="266"/>
      <c r="AB638" s="605">
        <f t="shared" si="109"/>
        <v>480000</v>
      </c>
      <c r="AC638" s="607">
        <f t="shared" si="108"/>
        <v>200000</v>
      </c>
      <c r="AD638" s="266"/>
    </row>
    <row r="639" spans="1:30" ht="31.5" x14ac:dyDescent="0.25">
      <c r="A639" s="113">
        <v>636</v>
      </c>
      <c r="B639" s="22">
        <v>44028</v>
      </c>
      <c r="C639" s="148" t="s">
        <v>4986</v>
      </c>
      <c r="D639" s="148"/>
      <c r="E639" s="148" t="s">
        <v>2404</v>
      </c>
      <c r="F639" s="636" t="s">
        <v>4997</v>
      </c>
      <c r="G639" s="10"/>
      <c r="H639" s="101"/>
      <c r="I639" s="148"/>
      <c r="J639" s="10"/>
      <c r="K639" s="10"/>
      <c r="L639" s="19"/>
      <c r="M639" s="13"/>
      <c r="N639" s="249"/>
      <c r="O639" s="19" t="s">
        <v>4917</v>
      </c>
      <c r="P639" s="19" t="s">
        <v>180</v>
      </c>
      <c r="Q639" s="19"/>
      <c r="R639" s="13"/>
      <c r="S639" s="19"/>
      <c r="T639" s="19"/>
      <c r="U639" s="19"/>
      <c r="V639" s="19"/>
      <c r="W639" s="19"/>
      <c r="X639" s="19"/>
      <c r="Y639" s="19"/>
      <c r="Z639" s="605">
        <f t="shared" si="105"/>
        <v>0</v>
      </c>
      <c r="AA639" s="19"/>
      <c r="AB639" s="605">
        <f t="shared" si="109"/>
        <v>0</v>
      </c>
      <c r="AC639" s="607">
        <f t="shared" si="108"/>
        <v>0</v>
      </c>
      <c r="AD639" s="19"/>
    </row>
    <row r="640" spans="1:30" s="320" customFormat="1" ht="47.25" x14ac:dyDescent="0.25">
      <c r="A640" s="74">
        <v>637</v>
      </c>
      <c r="B640" s="517">
        <v>44028</v>
      </c>
      <c r="C640" s="268" t="s">
        <v>4987</v>
      </c>
      <c r="D640" s="268" t="s">
        <v>2835</v>
      </c>
      <c r="E640" s="268" t="s">
        <v>3646</v>
      </c>
      <c r="F640" s="678" t="s">
        <v>4998</v>
      </c>
      <c r="G640" s="269"/>
      <c r="H640" s="267" t="s">
        <v>273</v>
      </c>
      <c r="I640" s="268" t="s">
        <v>5072</v>
      </c>
      <c r="J640" s="269" t="s">
        <v>5032</v>
      </c>
      <c r="K640" s="208" t="s">
        <v>5033</v>
      </c>
      <c r="L640" s="269"/>
      <c r="M640" s="270"/>
      <c r="N640" s="439"/>
      <c r="O640" s="269" t="s">
        <v>4918</v>
      </c>
      <c r="P640" s="269" t="s">
        <v>180</v>
      </c>
      <c r="Q640" s="507">
        <v>300</v>
      </c>
      <c r="R640" s="549">
        <v>500000</v>
      </c>
      <c r="S640" s="507">
        <v>300000</v>
      </c>
      <c r="T640" s="507">
        <v>800000</v>
      </c>
      <c r="U640" s="269"/>
      <c r="V640" s="269"/>
      <c r="W640" s="269"/>
      <c r="X640" s="269"/>
      <c r="Y640" s="516">
        <v>0.35</v>
      </c>
      <c r="Z640" s="605">
        <f t="shared" si="105"/>
        <v>280000</v>
      </c>
      <c r="AA640" s="269"/>
      <c r="AB640" s="607">
        <f t="shared" si="109"/>
        <v>480000</v>
      </c>
      <c r="AC640" s="607">
        <f t="shared" si="108"/>
        <v>200000</v>
      </c>
      <c r="AD640" s="269"/>
    </row>
    <row r="641" spans="1:30" ht="31.5" x14ac:dyDescent="0.25">
      <c r="A641" s="311">
        <v>638</v>
      </c>
      <c r="B641" s="22">
        <v>44028</v>
      </c>
      <c r="C641" s="148" t="s">
        <v>4988</v>
      </c>
      <c r="D641" s="148"/>
      <c r="E641" s="148" t="s">
        <v>309</v>
      </c>
      <c r="F641" s="628" t="s">
        <v>4999</v>
      </c>
      <c r="G641" s="10"/>
      <c r="H641" s="101"/>
      <c r="I641" s="148"/>
      <c r="J641" s="10"/>
      <c r="K641" s="10"/>
      <c r="L641" s="19"/>
      <c r="M641" s="13"/>
      <c r="N641" s="249"/>
      <c r="O641" s="19" t="s">
        <v>4917</v>
      </c>
      <c r="P641" s="19" t="s">
        <v>180</v>
      </c>
      <c r="Q641" s="19"/>
      <c r="R641" s="13"/>
      <c r="S641" s="19"/>
      <c r="T641" s="19"/>
      <c r="U641" s="19"/>
      <c r="V641" s="19"/>
      <c r="W641" s="19"/>
      <c r="X641" s="19"/>
      <c r="Y641" s="19"/>
      <c r="Z641" s="605">
        <f t="shared" si="105"/>
        <v>0</v>
      </c>
      <c r="AA641" s="19"/>
      <c r="AB641" s="605">
        <f t="shared" si="109"/>
        <v>0</v>
      </c>
      <c r="AC641" s="607">
        <f t="shared" si="108"/>
        <v>0</v>
      </c>
      <c r="AD641" s="19"/>
    </row>
    <row r="642" spans="1:30" ht="31.5" x14ac:dyDescent="0.25">
      <c r="A642" s="113">
        <v>639</v>
      </c>
      <c r="B642" s="22">
        <v>44028</v>
      </c>
      <c r="C642" s="148" t="s">
        <v>4989</v>
      </c>
      <c r="D642" s="148"/>
      <c r="E642" s="148" t="s">
        <v>309</v>
      </c>
      <c r="F642" s="636" t="s">
        <v>5000</v>
      </c>
      <c r="G642" s="10"/>
      <c r="H642" s="101"/>
      <c r="I642" s="148"/>
      <c r="J642" s="10"/>
      <c r="K642" s="10"/>
      <c r="L642" s="19"/>
      <c r="M642" s="13"/>
      <c r="N642" s="249"/>
      <c r="O642" s="19" t="s">
        <v>4917</v>
      </c>
      <c r="P642" s="19" t="s">
        <v>180</v>
      </c>
      <c r="Q642" s="19"/>
      <c r="R642" s="13"/>
      <c r="S642" s="19"/>
      <c r="T642" s="19"/>
      <c r="U642" s="19"/>
      <c r="V642" s="19"/>
      <c r="W642" s="19"/>
      <c r="X642" s="19"/>
      <c r="Y642" s="19"/>
      <c r="Z642" s="605">
        <f t="shared" si="105"/>
        <v>0</v>
      </c>
      <c r="AA642" s="19"/>
      <c r="AB642" s="605">
        <f t="shared" si="109"/>
        <v>0</v>
      </c>
      <c r="AC642" s="607">
        <f t="shared" si="108"/>
        <v>0</v>
      </c>
      <c r="AD642" s="19"/>
    </row>
    <row r="643" spans="1:30" ht="47.25" x14ac:dyDescent="0.25">
      <c r="A643" s="74">
        <v>640</v>
      </c>
      <c r="B643" s="22">
        <v>44028</v>
      </c>
      <c r="C643" s="148" t="s">
        <v>4990</v>
      </c>
      <c r="D643" s="148"/>
      <c r="E643" s="148" t="s">
        <v>309</v>
      </c>
      <c r="F643" s="628" t="s">
        <v>5001</v>
      </c>
      <c r="G643" s="10"/>
      <c r="H643" s="101"/>
      <c r="I643" s="148"/>
      <c r="J643" s="10"/>
      <c r="K643" s="10"/>
      <c r="L643" s="19"/>
      <c r="M643" s="13"/>
      <c r="N643" s="249"/>
      <c r="O643" s="19" t="s">
        <v>4917</v>
      </c>
      <c r="P643" s="19" t="s">
        <v>180</v>
      </c>
      <c r="Q643" s="19"/>
      <c r="R643" s="13"/>
      <c r="S643" s="19"/>
      <c r="T643" s="19"/>
      <c r="U643" s="19"/>
      <c r="V643" s="19"/>
      <c r="W643" s="19"/>
      <c r="X643" s="19"/>
      <c r="Y643" s="19"/>
      <c r="Z643" s="605">
        <f t="shared" si="105"/>
        <v>0</v>
      </c>
      <c r="AA643" s="19"/>
      <c r="AB643" s="605">
        <f t="shared" si="109"/>
        <v>0</v>
      </c>
      <c r="AC643" s="607">
        <f t="shared" si="108"/>
        <v>0</v>
      </c>
      <c r="AD643" s="19"/>
    </row>
    <row r="644" spans="1:30" s="272" customFormat="1" ht="31.5" x14ac:dyDescent="0.25">
      <c r="A644" s="311">
        <v>641</v>
      </c>
      <c r="B644" s="373">
        <v>44028</v>
      </c>
      <c r="C644" s="358" t="s">
        <v>4991</v>
      </c>
      <c r="D644" s="358"/>
      <c r="E644" s="358" t="s">
        <v>309</v>
      </c>
      <c r="F644" s="631" t="s">
        <v>5002</v>
      </c>
      <c r="G644" s="269"/>
      <c r="H644" s="335"/>
      <c r="I644" s="358"/>
      <c r="J644" s="269"/>
      <c r="K644" s="269"/>
      <c r="L644" s="266"/>
      <c r="M644" s="278"/>
      <c r="N644" s="439"/>
      <c r="O644" s="266" t="s">
        <v>4918</v>
      </c>
      <c r="P644" s="266" t="s">
        <v>180</v>
      </c>
      <c r="Q644" s="507">
        <v>300</v>
      </c>
      <c r="R644" s="549">
        <v>500000</v>
      </c>
      <c r="S644" s="507">
        <v>300000</v>
      </c>
      <c r="T644" s="507">
        <v>800000</v>
      </c>
      <c r="U644" s="266"/>
      <c r="V644" s="266"/>
      <c r="W644" s="266"/>
      <c r="X644" s="266"/>
      <c r="Y644" s="271">
        <v>0.35</v>
      </c>
      <c r="Z644" s="605">
        <f t="shared" si="105"/>
        <v>280000</v>
      </c>
      <c r="AA644" s="266"/>
      <c r="AB644" s="605">
        <f t="shared" si="109"/>
        <v>480000</v>
      </c>
      <c r="AC644" s="607">
        <f t="shared" si="108"/>
        <v>200000</v>
      </c>
      <c r="AD644" s="266"/>
    </row>
    <row r="645" spans="1:30" ht="31.5" x14ac:dyDescent="0.25">
      <c r="A645" s="113">
        <v>642</v>
      </c>
      <c r="B645" s="22">
        <v>44028</v>
      </c>
      <c r="C645" s="148" t="s">
        <v>4992</v>
      </c>
      <c r="D645" s="148"/>
      <c r="E645" s="148" t="s">
        <v>309</v>
      </c>
      <c r="F645" s="628">
        <v>101040425</v>
      </c>
      <c r="G645" s="10"/>
      <c r="H645" s="101"/>
      <c r="I645" s="148"/>
      <c r="J645" s="10"/>
      <c r="K645" s="10"/>
      <c r="L645" s="19"/>
      <c r="M645" s="13"/>
      <c r="N645" s="249"/>
      <c r="O645" s="19" t="s">
        <v>4917</v>
      </c>
      <c r="P645" s="19" t="s">
        <v>180</v>
      </c>
      <c r="Q645" s="19"/>
      <c r="R645" s="13"/>
      <c r="S645" s="19"/>
      <c r="T645" s="19"/>
      <c r="U645" s="19"/>
      <c r="V645" s="19"/>
      <c r="W645" s="19"/>
      <c r="X645" s="19"/>
      <c r="Y645" s="19"/>
      <c r="Z645" s="605">
        <f t="shared" si="105"/>
        <v>0</v>
      </c>
      <c r="AA645" s="19"/>
      <c r="AB645" s="605">
        <f t="shared" si="109"/>
        <v>0</v>
      </c>
      <c r="AC645" s="607">
        <f t="shared" si="108"/>
        <v>0</v>
      </c>
      <c r="AD645" s="19"/>
    </row>
    <row r="646" spans="1:30" s="272" customFormat="1" ht="47.25" x14ac:dyDescent="0.25">
      <c r="A646" s="74">
        <v>643</v>
      </c>
      <c r="B646" s="373">
        <v>44028</v>
      </c>
      <c r="C646" s="358" t="s">
        <v>4993</v>
      </c>
      <c r="D646" s="358"/>
      <c r="E646" s="358" t="s">
        <v>309</v>
      </c>
      <c r="F646" s="631" t="s">
        <v>5003</v>
      </c>
      <c r="G646" s="269"/>
      <c r="H646" s="335"/>
      <c r="I646" s="358"/>
      <c r="J646" s="269"/>
      <c r="K646" s="269"/>
      <c r="L646" s="266"/>
      <c r="M646" s="278"/>
      <c r="N646" s="439"/>
      <c r="O646" s="266" t="s">
        <v>4918</v>
      </c>
      <c r="P646" s="266" t="s">
        <v>180</v>
      </c>
      <c r="Q646" s="507">
        <v>300</v>
      </c>
      <c r="R646" s="549">
        <v>500000</v>
      </c>
      <c r="S646" s="507">
        <v>300000</v>
      </c>
      <c r="T646" s="507">
        <v>800000</v>
      </c>
      <c r="U646" s="266"/>
      <c r="V646" s="266"/>
      <c r="W646" s="266"/>
      <c r="X646" s="266"/>
      <c r="Y646" s="271">
        <v>0.35</v>
      </c>
      <c r="Z646" s="605">
        <f t="shared" si="105"/>
        <v>280000</v>
      </c>
      <c r="AA646" s="266"/>
      <c r="AB646" s="605">
        <f t="shared" si="109"/>
        <v>480000</v>
      </c>
      <c r="AC646" s="607">
        <f t="shared" si="108"/>
        <v>200000</v>
      </c>
      <c r="AD646" s="266"/>
    </row>
    <row r="647" spans="1:30" ht="31.5" x14ac:dyDescent="0.25">
      <c r="A647" s="311">
        <v>644</v>
      </c>
      <c r="B647" s="22">
        <v>44028</v>
      </c>
      <c r="C647" s="148" t="s">
        <v>4988</v>
      </c>
      <c r="D647" s="148"/>
      <c r="E647" s="148" t="s">
        <v>309</v>
      </c>
      <c r="F647" s="636" t="s">
        <v>4999</v>
      </c>
      <c r="G647" s="10"/>
      <c r="H647" s="101"/>
      <c r="I647" s="148"/>
      <c r="J647" s="10"/>
      <c r="K647" s="10"/>
      <c r="L647" s="19"/>
      <c r="M647" s="13"/>
      <c r="N647" s="249"/>
      <c r="O647" s="19" t="s">
        <v>4917</v>
      </c>
      <c r="P647" s="19" t="s">
        <v>180</v>
      </c>
      <c r="Q647" s="19"/>
      <c r="R647" s="13"/>
      <c r="S647" s="19"/>
      <c r="T647" s="19"/>
      <c r="U647" s="19"/>
      <c r="V647" s="19"/>
      <c r="W647" s="19"/>
      <c r="X647" s="19"/>
      <c r="Y647" s="19"/>
      <c r="Z647" s="605">
        <f t="shared" si="105"/>
        <v>0</v>
      </c>
      <c r="AA647" s="19"/>
      <c r="AB647" s="605">
        <f t="shared" si="109"/>
        <v>0</v>
      </c>
      <c r="AC647" s="607">
        <f t="shared" si="108"/>
        <v>0</v>
      </c>
      <c r="AD647" s="19"/>
    </row>
    <row r="648" spans="1:30" s="272" customFormat="1" ht="31.5" x14ac:dyDescent="0.25">
      <c r="A648" s="113">
        <v>645</v>
      </c>
      <c r="B648" s="373">
        <v>44028</v>
      </c>
      <c r="C648" s="358" t="s">
        <v>4994</v>
      </c>
      <c r="D648" s="358"/>
      <c r="E648" s="358" t="s">
        <v>309</v>
      </c>
      <c r="F648" s="635" t="s">
        <v>5004</v>
      </c>
      <c r="G648" s="269"/>
      <c r="H648" s="335"/>
      <c r="I648" s="358"/>
      <c r="J648" s="269"/>
      <c r="K648" s="269"/>
      <c r="L648" s="266"/>
      <c r="M648" s="278"/>
      <c r="N648" s="439"/>
      <c r="O648" s="266" t="s">
        <v>4918</v>
      </c>
      <c r="P648" s="266" t="s">
        <v>180</v>
      </c>
      <c r="Q648" s="507">
        <v>300</v>
      </c>
      <c r="R648" s="549">
        <v>500000</v>
      </c>
      <c r="S648" s="507">
        <v>300000</v>
      </c>
      <c r="T648" s="507">
        <v>800000</v>
      </c>
      <c r="U648" s="266"/>
      <c r="V648" s="266"/>
      <c r="W648" s="266"/>
      <c r="X648" s="266"/>
      <c r="Y648" s="271">
        <v>0.35</v>
      </c>
      <c r="Z648" s="605">
        <f t="shared" si="105"/>
        <v>280000</v>
      </c>
      <c r="AA648" s="266"/>
      <c r="AB648" s="605">
        <f t="shared" si="109"/>
        <v>480000</v>
      </c>
      <c r="AC648" s="607">
        <f t="shared" si="108"/>
        <v>200000</v>
      </c>
      <c r="AD648" s="266"/>
    </row>
    <row r="649" spans="1:30" s="272" customFormat="1" ht="47.25" x14ac:dyDescent="0.25">
      <c r="A649" s="74">
        <v>646</v>
      </c>
      <c r="B649" s="373">
        <v>44028</v>
      </c>
      <c r="C649" s="358" t="s">
        <v>4990</v>
      </c>
      <c r="D649" s="358"/>
      <c r="E649" s="358" t="s">
        <v>309</v>
      </c>
      <c r="F649" s="631" t="s">
        <v>5001</v>
      </c>
      <c r="G649" s="269"/>
      <c r="H649" s="335"/>
      <c r="I649" s="358"/>
      <c r="J649" s="269"/>
      <c r="K649" s="269"/>
      <c r="L649" s="266"/>
      <c r="M649" s="278"/>
      <c r="N649" s="439"/>
      <c r="O649" s="266" t="s">
        <v>4918</v>
      </c>
      <c r="P649" s="266" t="s">
        <v>94</v>
      </c>
      <c r="Q649" s="507">
        <v>300</v>
      </c>
      <c r="R649" s="549"/>
      <c r="S649" s="507">
        <v>300000</v>
      </c>
      <c r="T649" s="507">
        <v>300000</v>
      </c>
      <c r="U649" s="266"/>
      <c r="V649" s="266"/>
      <c r="W649" s="266"/>
      <c r="X649" s="266"/>
      <c r="Y649" s="271">
        <v>0.35</v>
      </c>
      <c r="Z649" s="605">
        <f t="shared" si="105"/>
        <v>105000</v>
      </c>
      <c r="AA649" s="266"/>
      <c r="AB649" s="605">
        <f t="shared" si="109"/>
        <v>180000</v>
      </c>
      <c r="AC649" s="607">
        <f t="shared" si="108"/>
        <v>75000</v>
      </c>
      <c r="AD649" s="266"/>
    </row>
    <row r="650" spans="1:30" ht="47.25" x14ac:dyDescent="0.25">
      <c r="A650" s="311">
        <v>647</v>
      </c>
      <c r="B650" s="22">
        <v>44029</v>
      </c>
      <c r="C650" s="148" t="s">
        <v>4990</v>
      </c>
      <c r="D650" s="148"/>
      <c r="E650" s="148" t="s">
        <v>309</v>
      </c>
      <c r="F650" s="101" t="s">
        <v>5001</v>
      </c>
      <c r="G650" s="10"/>
      <c r="H650" s="101"/>
      <c r="I650" s="148"/>
      <c r="J650" s="10"/>
      <c r="K650" s="10"/>
      <c r="L650" s="19"/>
      <c r="M650" s="13"/>
      <c r="N650" s="249"/>
      <c r="O650" s="19" t="s">
        <v>4917</v>
      </c>
      <c r="P650" s="19" t="s">
        <v>180</v>
      </c>
      <c r="Q650" s="19"/>
      <c r="R650" s="13"/>
      <c r="S650" s="19"/>
      <c r="T650" s="19"/>
      <c r="U650" s="19"/>
      <c r="V650" s="19"/>
      <c r="W650" s="19"/>
      <c r="X650" s="19"/>
      <c r="Y650" s="19"/>
      <c r="Z650" s="376">
        <f t="shared" si="105"/>
        <v>0</v>
      </c>
      <c r="AA650" s="19"/>
      <c r="AB650" s="376">
        <f t="shared" si="109"/>
        <v>0</v>
      </c>
      <c r="AC650" s="38">
        <f t="shared" si="108"/>
        <v>0</v>
      </c>
      <c r="AD650" s="19"/>
    </row>
    <row r="651" spans="1:30" ht="31.5" x14ac:dyDescent="0.25">
      <c r="A651" s="113">
        <v>648</v>
      </c>
      <c r="B651" s="22">
        <v>44029</v>
      </c>
      <c r="C651" s="148" t="s">
        <v>5005</v>
      </c>
      <c r="D651" s="148"/>
      <c r="E651" s="148" t="s">
        <v>2404</v>
      </c>
      <c r="F651" s="101" t="s">
        <v>5008</v>
      </c>
      <c r="G651" s="10"/>
      <c r="H651" s="101"/>
      <c r="I651" s="148"/>
      <c r="J651" s="10"/>
      <c r="K651" s="10"/>
      <c r="L651" s="19"/>
      <c r="M651" s="13"/>
      <c r="N651" s="249"/>
      <c r="O651" s="19" t="s">
        <v>4917</v>
      </c>
      <c r="P651" s="19" t="s">
        <v>180</v>
      </c>
      <c r="Q651" s="19"/>
      <c r="R651" s="13"/>
      <c r="S651" s="19"/>
      <c r="T651" s="19"/>
      <c r="U651" s="19"/>
      <c r="V651" s="19"/>
      <c r="W651" s="19"/>
      <c r="X651" s="19"/>
      <c r="Y651" s="19"/>
      <c r="Z651" s="376">
        <f t="shared" si="105"/>
        <v>0</v>
      </c>
      <c r="AA651" s="19"/>
      <c r="AB651" s="376">
        <f t="shared" si="109"/>
        <v>0</v>
      </c>
      <c r="AC651" s="38">
        <f t="shared" si="108"/>
        <v>0</v>
      </c>
      <c r="AD651" s="19"/>
    </row>
    <row r="652" spans="1:30" s="272" customFormat="1" ht="47.25" x14ac:dyDescent="0.25">
      <c r="A652" s="74">
        <v>649</v>
      </c>
      <c r="B652" s="373">
        <v>44029</v>
      </c>
      <c r="C652" s="358" t="s">
        <v>617</v>
      </c>
      <c r="D652" s="358" t="s">
        <v>502</v>
      </c>
      <c r="E652" s="358" t="s">
        <v>3646</v>
      </c>
      <c r="F652" s="335" t="s">
        <v>918</v>
      </c>
      <c r="G652" s="269"/>
      <c r="H652" s="335" t="s">
        <v>619</v>
      </c>
      <c r="I652" s="358" t="s">
        <v>5073</v>
      </c>
      <c r="J652" s="269" t="s">
        <v>5029</v>
      </c>
      <c r="K652" s="208" t="s">
        <v>921</v>
      </c>
      <c r="L652" s="266"/>
      <c r="M652" s="278"/>
      <c r="N652" s="439"/>
      <c r="O652" s="266" t="s">
        <v>4959</v>
      </c>
      <c r="P652" s="266" t="s">
        <v>94</v>
      </c>
      <c r="Q652" s="266">
        <v>2000</v>
      </c>
      <c r="R652" s="278"/>
      <c r="S652" s="266">
        <v>1100000</v>
      </c>
      <c r="T652" s="266">
        <v>1100000</v>
      </c>
      <c r="U652" s="266"/>
      <c r="V652" s="266"/>
      <c r="W652" s="266"/>
      <c r="X652" s="266"/>
      <c r="Y652" s="266"/>
      <c r="Z652" s="605">
        <f t="shared" si="105"/>
        <v>0</v>
      </c>
      <c r="AA652" s="266"/>
      <c r="AB652" s="605">
        <f t="shared" si="109"/>
        <v>660000</v>
      </c>
      <c r="AC652" s="607">
        <f t="shared" si="108"/>
        <v>660000</v>
      </c>
      <c r="AD652" s="266"/>
    </row>
    <row r="653" spans="1:30" s="272" customFormat="1" ht="47.25" x14ac:dyDescent="0.25">
      <c r="A653" s="311">
        <v>650</v>
      </c>
      <c r="B653" s="373">
        <v>44029</v>
      </c>
      <c r="C653" s="358" t="s">
        <v>5006</v>
      </c>
      <c r="D653" s="358" t="s">
        <v>4402</v>
      </c>
      <c r="E653" s="358" t="s">
        <v>3646</v>
      </c>
      <c r="F653" s="335" t="s">
        <v>5009</v>
      </c>
      <c r="G653" s="269"/>
      <c r="H653" s="335" t="s">
        <v>273</v>
      </c>
      <c r="I653" s="358" t="s">
        <v>5074</v>
      </c>
      <c r="J653" s="268" t="s">
        <v>5028</v>
      </c>
      <c r="K653" s="208" t="s">
        <v>5030</v>
      </c>
      <c r="L653" s="266"/>
      <c r="M653" s="278"/>
      <c r="N653" s="439"/>
      <c r="O653" s="266" t="s">
        <v>4918</v>
      </c>
      <c r="P653" s="266" t="s">
        <v>180</v>
      </c>
      <c r="Q653" s="507">
        <v>300</v>
      </c>
      <c r="R653" s="549">
        <v>500000</v>
      </c>
      <c r="S653" s="507">
        <v>300000</v>
      </c>
      <c r="T653" s="602">
        <f>R653+S653</f>
        <v>800000</v>
      </c>
      <c r="U653" s="266"/>
      <c r="V653" s="266"/>
      <c r="W653" s="266"/>
      <c r="X653" s="266"/>
      <c r="Y653" s="266"/>
      <c r="Z653" s="605">
        <f t="shared" si="105"/>
        <v>0</v>
      </c>
      <c r="AA653" s="266"/>
      <c r="AB653" s="605">
        <f t="shared" si="109"/>
        <v>480000</v>
      </c>
      <c r="AC653" s="607">
        <f t="shared" si="108"/>
        <v>480000</v>
      </c>
      <c r="AD653" s="266"/>
    </row>
    <row r="654" spans="1:30" s="272" customFormat="1" ht="31.5" x14ac:dyDescent="0.25">
      <c r="A654" s="113">
        <v>651</v>
      </c>
      <c r="B654" s="373">
        <v>44029</v>
      </c>
      <c r="C654" s="358" t="s">
        <v>5007</v>
      </c>
      <c r="E654" s="358" t="s">
        <v>309</v>
      </c>
      <c r="F654" s="335" t="s">
        <v>5010</v>
      </c>
      <c r="G654" s="269"/>
      <c r="H654" s="335"/>
      <c r="I654" s="358"/>
      <c r="J654" s="269"/>
      <c r="K654" s="269"/>
      <c r="L654" s="266"/>
      <c r="M654" s="278"/>
      <c r="N654" s="439"/>
      <c r="O654" s="266" t="s">
        <v>4918</v>
      </c>
      <c r="P654" s="266" t="s">
        <v>180</v>
      </c>
      <c r="Q654" s="507">
        <v>300</v>
      </c>
      <c r="R654" s="549">
        <v>500000</v>
      </c>
      <c r="S654" s="507">
        <v>300000</v>
      </c>
      <c r="T654" s="602">
        <f>R654+S654</f>
        <v>800000</v>
      </c>
      <c r="U654" s="266"/>
      <c r="V654" s="266"/>
      <c r="W654" s="266"/>
      <c r="X654" s="266"/>
      <c r="Y654" s="266"/>
      <c r="Z654" s="605">
        <f t="shared" si="105"/>
        <v>0</v>
      </c>
      <c r="AA654" s="266"/>
      <c r="AB654" s="605">
        <f t="shared" si="109"/>
        <v>480000</v>
      </c>
      <c r="AC654" s="607">
        <f t="shared" si="108"/>
        <v>480000</v>
      </c>
      <c r="AD654" s="266"/>
    </row>
    <row r="655" spans="1:30" ht="47.25" x14ac:dyDescent="0.25">
      <c r="A655" s="74">
        <v>652</v>
      </c>
      <c r="B655" s="22">
        <v>44030</v>
      </c>
      <c r="C655" s="148" t="s">
        <v>5011</v>
      </c>
      <c r="D655" s="148" t="s">
        <v>2686</v>
      </c>
      <c r="E655" s="148" t="s">
        <v>3646</v>
      </c>
      <c r="F655" s="101" t="s">
        <v>5018</v>
      </c>
      <c r="G655" s="10"/>
      <c r="H655" s="101" t="s">
        <v>273</v>
      </c>
      <c r="I655" s="148" t="s">
        <v>5075</v>
      </c>
      <c r="J655" s="10" t="s">
        <v>5076</v>
      </c>
      <c r="K655" s="10"/>
      <c r="L655" s="19"/>
      <c r="M655" s="13"/>
      <c r="N655" s="249"/>
      <c r="O655" s="19" t="s">
        <v>4918</v>
      </c>
      <c r="P655" s="19" t="s">
        <v>180</v>
      </c>
      <c r="Q655" s="507">
        <v>300</v>
      </c>
      <c r="R655" s="549">
        <v>500000</v>
      </c>
      <c r="S655" s="507">
        <v>300000</v>
      </c>
      <c r="T655" s="602">
        <f>R655+S655</f>
        <v>800000</v>
      </c>
      <c r="U655" s="19"/>
      <c r="V655" s="19"/>
      <c r="W655" s="19"/>
      <c r="X655" s="19"/>
      <c r="Y655" s="165">
        <v>0.35</v>
      </c>
      <c r="Z655" s="605">
        <f t="shared" si="105"/>
        <v>280000</v>
      </c>
      <c r="AA655" s="19"/>
      <c r="AB655" s="605">
        <f t="shared" si="109"/>
        <v>480000</v>
      </c>
      <c r="AC655" s="607">
        <f t="shared" si="108"/>
        <v>200000</v>
      </c>
      <c r="AD655" s="19" t="s">
        <v>5025</v>
      </c>
    </row>
    <row r="656" spans="1:30" ht="47.25" x14ac:dyDescent="0.25">
      <c r="A656" s="311">
        <v>653</v>
      </c>
      <c r="B656" s="22">
        <v>44030</v>
      </c>
      <c r="C656" s="148" t="s">
        <v>5012</v>
      </c>
      <c r="D656" s="148" t="s">
        <v>3901</v>
      </c>
      <c r="E656" s="148" t="s">
        <v>3646</v>
      </c>
      <c r="F656" s="101" t="s">
        <v>5019</v>
      </c>
      <c r="G656" s="10"/>
      <c r="H656" s="101" t="s">
        <v>1639</v>
      </c>
      <c r="I656" s="148" t="s">
        <v>5077</v>
      </c>
      <c r="J656" s="10"/>
      <c r="K656" s="10"/>
      <c r="L656" s="19"/>
      <c r="M656" s="13"/>
      <c r="N656" s="249"/>
      <c r="O656" s="19" t="s">
        <v>4933</v>
      </c>
      <c r="P656" s="19" t="s">
        <v>180</v>
      </c>
      <c r="Q656" s="507">
        <v>1000</v>
      </c>
      <c r="R656" s="549">
        <v>500000</v>
      </c>
      <c r="S656" s="507">
        <v>675000</v>
      </c>
      <c r="T656" s="507">
        <f t="shared" ref="T656" si="110">R656+S656</f>
        <v>1175000</v>
      </c>
      <c r="U656" s="266"/>
      <c r="V656" s="266"/>
      <c r="W656" s="266"/>
      <c r="X656" s="266"/>
      <c r="Y656" s="271">
        <v>0.35</v>
      </c>
      <c r="Z656" s="605">
        <f t="shared" si="105"/>
        <v>411250</v>
      </c>
      <c r="AA656" s="19"/>
      <c r="AB656" s="605">
        <f t="shared" si="109"/>
        <v>705000</v>
      </c>
      <c r="AC656" s="607">
        <f t="shared" si="108"/>
        <v>293750</v>
      </c>
      <c r="AD656" s="19" t="s">
        <v>5026</v>
      </c>
    </row>
    <row r="657" spans="1:30" s="272" customFormat="1" ht="31.5" x14ac:dyDescent="0.25">
      <c r="A657" s="113">
        <v>654</v>
      </c>
      <c r="B657" s="373">
        <v>44030</v>
      </c>
      <c r="C657" s="358" t="s">
        <v>5013</v>
      </c>
      <c r="D657" s="266"/>
      <c r="E657" s="358" t="s">
        <v>309</v>
      </c>
      <c r="F657" s="335" t="s">
        <v>5020</v>
      </c>
      <c r="G657" s="269"/>
      <c r="H657" s="335"/>
      <c r="I657" s="358"/>
      <c r="J657" s="269"/>
      <c r="K657" s="269"/>
      <c r="L657" s="266"/>
      <c r="M657" s="278"/>
      <c r="N657" s="439"/>
      <c r="O657" s="266" t="s">
        <v>4918</v>
      </c>
      <c r="P657" s="266" t="s">
        <v>180</v>
      </c>
      <c r="Q657" s="507">
        <v>300</v>
      </c>
      <c r="R657" s="549">
        <v>500000</v>
      </c>
      <c r="S657" s="507">
        <v>300000</v>
      </c>
      <c r="T657" s="602">
        <f>R657+S657</f>
        <v>800000</v>
      </c>
      <c r="U657" s="266"/>
      <c r="V657" s="266"/>
      <c r="W657" s="266"/>
      <c r="X657" s="266"/>
      <c r="Y657" s="271">
        <v>0.35</v>
      </c>
      <c r="Z657" s="605">
        <f t="shared" si="105"/>
        <v>280000</v>
      </c>
      <c r="AA657" s="266"/>
      <c r="AB657" s="605">
        <f t="shared" si="109"/>
        <v>480000</v>
      </c>
      <c r="AC657" s="607">
        <f t="shared" si="108"/>
        <v>200000</v>
      </c>
      <c r="AD657" s="266"/>
    </row>
    <row r="658" spans="1:30" s="272" customFormat="1" ht="31.5" x14ac:dyDescent="0.25">
      <c r="A658" s="74">
        <v>655</v>
      </c>
      <c r="B658" s="373">
        <v>44030</v>
      </c>
      <c r="C658" s="358" t="s">
        <v>5014</v>
      </c>
      <c r="D658" s="266"/>
      <c r="E658" s="358" t="s">
        <v>309</v>
      </c>
      <c r="F658" s="335" t="s">
        <v>5021</v>
      </c>
      <c r="G658" s="269"/>
      <c r="H658" s="335"/>
      <c r="I658" s="358"/>
      <c r="J658" s="269"/>
      <c r="K658" s="269"/>
      <c r="L658" s="266"/>
      <c r="M658" s="278"/>
      <c r="N658" s="439"/>
      <c r="O658" s="266" t="s">
        <v>4918</v>
      </c>
      <c r="P658" s="266" t="s">
        <v>180</v>
      </c>
      <c r="Q658" s="507">
        <v>300</v>
      </c>
      <c r="R658" s="549">
        <v>500000</v>
      </c>
      <c r="S658" s="507">
        <v>300000</v>
      </c>
      <c r="T658" s="602">
        <f>R658+S658</f>
        <v>800000</v>
      </c>
      <c r="U658" s="266"/>
      <c r="V658" s="266"/>
      <c r="W658" s="266"/>
      <c r="X658" s="266"/>
      <c r="Y658" s="271">
        <v>0.35</v>
      </c>
      <c r="Z658" s="605">
        <f t="shared" si="105"/>
        <v>280000</v>
      </c>
      <c r="AA658" s="266"/>
      <c r="AB658" s="605">
        <f t="shared" si="109"/>
        <v>480000</v>
      </c>
      <c r="AC658" s="607">
        <f t="shared" si="108"/>
        <v>200000</v>
      </c>
      <c r="AD658" s="266"/>
    </row>
    <row r="659" spans="1:30" s="272" customFormat="1" ht="47.25" x14ac:dyDescent="0.25">
      <c r="A659" s="311">
        <v>656</v>
      </c>
      <c r="B659" s="373">
        <v>44030</v>
      </c>
      <c r="C659" s="358" t="s">
        <v>5015</v>
      </c>
      <c r="D659" s="358" t="s">
        <v>4402</v>
      </c>
      <c r="E659" s="358" t="s">
        <v>3646</v>
      </c>
      <c r="F659" s="335" t="s">
        <v>5022</v>
      </c>
      <c r="G659" s="269"/>
      <c r="H659" s="335"/>
      <c r="I659" s="358" t="s">
        <v>5078</v>
      </c>
      <c r="J659" s="269" t="s">
        <v>5027</v>
      </c>
      <c r="K659" s="208" t="s">
        <v>5031</v>
      </c>
      <c r="L659" s="266"/>
      <c r="M659" s="278"/>
      <c r="N659" s="439"/>
      <c r="O659" s="266" t="s">
        <v>4918</v>
      </c>
      <c r="P659" s="266" t="s">
        <v>180</v>
      </c>
      <c r="Q659" s="507">
        <v>300</v>
      </c>
      <c r="R659" s="549">
        <v>500000</v>
      </c>
      <c r="S659" s="507">
        <v>300000</v>
      </c>
      <c r="T659" s="602">
        <f>R659+S659</f>
        <v>800000</v>
      </c>
      <c r="U659" s="266"/>
      <c r="V659" s="266"/>
      <c r="W659" s="266"/>
      <c r="X659" s="266"/>
      <c r="Y659" s="271">
        <v>0.35</v>
      </c>
      <c r="Z659" s="605">
        <f t="shared" si="105"/>
        <v>280000</v>
      </c>
      <c r="AA659" s="266"/>
      <c r="AB659" s="605">
        <f t="shared" si="109"/>
        <v>480000</v>
      </c>
      <c r="AC659" s="607">
        <f t="shared" si="108"/>
        <v>200000</v>
      </c>
      <c r="AD659" s="266"/>
    </row>
    <row r="660" spans="1:30" s="272" customFormat="1" ht="31.5" x14ac:dyDescent="0.25">
      <c r="A660" s="113">
        <v>657</v>
      </c>
      <c r="B660" s="373">
        <v>44030</v>
      </c>
      <c r="C660" s="358" t="s">
        <v>5016</v>
      </c>
      <c r="D660" s="266"/>
      <c r="E660" s="358" t="s">
        <v>309</v>
      </c>
      <c r="F660" s="335" t="s">
        <v>5023</v>
      </c>
      <c r="G660" s="269"/>
      <c r="H660" s="335"/>
      <c r="I660" s="358"/>
      <c r="J660" s="269"/>
      <c r="K660" s="269"/>
      <c r="L660" s="266"/>
      <c r="M660" s="278"/>
      <c r="N660" s="439"/>
      <c r="O660" s="266" t="s">
        <v>4918</v>
      </c>
      <c r="P660" s="266" t="s">
        <v>180</v>
      </c>
      <c r="Q660" s="507">
        <v>300</v>
      </c>
      <c r="R660" s="549">
        <v>500000</v>
      </c>
      <c r="S660" s="507">
        <v>300000</v>
      </c>
      <c r="T660" s="602">
        <f>R660+S660</f>
        <v>800000</v>
      </c>
      <c r="U660" s="266"/>
      <c r="V660" s="266"/>
      <c r="W660" s="266"/>
      <c r="X660" s="266"/>
      <c r="Y660" s="271">
        <v>0.35</v>
      </c>
      <c r="Z660" s="605">
        <f t="shared" si="105"/>
        <v>280000</v>
      </c>
      <c r="AA660" s="266"/>
      <c r="AB660" s="605">
        <f t="shared" si="109"/>
        <v>480000</v>
      </c>
      <c r="AC660" s="607">
        <f t="shared" si="108"/>
        <v>200000</v>
      </c>
      <c r="AD660" s="266"/>
    </row>
    <row r="661" spans="1:30" s="272" customFormat="1" ht="47.25" x14ac:dyDescent="0.25">
      <c r="A661" s="74">
        <v>658</v>
      </c>
      <c r="B661" s="373">
        <v>44030</v>
      </c>
      <c r="C661" s="358" t="s">
        <v>5017</v>
      </c>
      <c r="D661" s="266"/>
      <c r="E661" s="358" t="s">
        <v>2324</v>
      </c>
      <c r="F661" s="335" t="s">
        <v>5024</v>
      </c>
      <c r="G661" s="269"/>
      <c r="H661" s="335"/>
      <c r="I661" s="358"/>
      <c r="J661" s="269"/>
      <c r="K661" s="269"/>
      <c r="L661" s="266"/>
      <c r="M661" s="278"/>
      <c r="N661" s="439"/>
      <c r="O661" s="266" t="s">
        <v>4918</v>
      </c>
      <c r="P661" s="266" t="s">
        <v>180</v>
      </c>
      <c r="Q661" s="507">
        <v>300</v>
      </c>
      <c r="R661" s="549">
        <v>500000</v>
      </c>
      <c r="S661" s="507">
        <v>300000</v>
      </c>
      <c r="T661" s="602">
        <f>R661+S661</f>
        <v>800000</v>
      </c>
      <c r="U661" s="266"/>
      <c r="V661" s="266"/>
      <c r="W661" s="266"/>
      <c r="X661" s="266"/>
      <c r="Y661" s="271">
        <v>0.35</v>
      </c>
      <c r="Z661" s="605">
        <f t="shared" si="105"/>
        <v>280000</v>
      </c>
      <c r="AA661" s="266"/>
      <c r="AB661" s="605">
        <f t="shared" si="109"/>
        <v>480000</v>
      </c>
      <c r="AC661" s="607">
        <f t="shared" si="108"/>
        <v>200000</v>
      </c>
      <c r="AD661" s="266"/>
    </row>
    <row r="662" spans="1:30" s="272" customFormat="1" ht="47.25" x14ac:dyDescent="0.25">
      <c r="A662" s="311">
        <v>659</v>
      </c>
      <c r="B662" s="373">
        <v>44033</v>
      </c>
      <c r="C662" s="358" t="s">
        <v>5079</v>
      </c>
      <c r="D662" s="358" t="s">
        <v>502</v>
      </c>
      <c r="E662" s="358" t="s">
        <v>3646</v>
      </c>
      <c r="F662" s="335" t="s">
        <v>5080</v>
      </c>
      <c r="G662" s="269"/>
      <c r="H662" s="335" t="s">
        <v>840</v>
      </c>
      <c r="I662" s="358" t="s">
        <v>5081</v>
      </c>
      <c r="J662" s="498" t="s">
        <v>5082</v>
      </c>
      <c r="K662" s="380" t="s">
        <v>5083</v>
      </c>
      <c r="L662" s="266"/>
      <c r="M662" s="278"/>
      <c r="N662" s="439"/>
      <c r="O662" s="266" t="s">
        <v>4932</v>
      </c>
      <c r="P662" s="266" t="s">
        <v>180</v>
      </c>
      <c r="Q662" s="266">
        <v>500</v>
      </c>
      <c r="R662" s="278">
        <v>500000</v>
      </c>
      <c r="S662" s="266">
        <v>425000</v>
      </c>
      <c r="T662" s="266">
        <f t="shared" ref="T662:T663" si="111">R662+S662</f>
        <v>925000</v>
      </c>
      <c r="U662" s="266"/>
      <c r="V662" s="266"/>
      <c r="W662" s="266"/>
      <c r="X662" s="266"/>
      <c r="Y662" s="271">
        <v>0.35</v>
      </c>
      <c r="Z662" s="605">
        <f t="shared" si="105"/>
        <v>323750</v>
      </c>
      <c r="AA662" s="266"/>
      <c r="AB662" s="605">
        <f t="shared" si="109"/>
        <v>555000</v>
      </c>
      <c r="AC662" s="607">
        <f t="shared" si="108"/>
        <v>231250</v>
      </c>
      <c r="AD662" s="266"/>
    </row>
    <row r="663" spans="1:30" ht="63" x14ac:dyDescent="0.25">
      <c r="A663" s="113">
        <v>660</v>
      </c>
      <c r="B663" s="22">
        <v>44033</v>
      </c>
      <c r="C663" s="148" t="s">
        <v>5084</v>
      </c>
      <c r="D663" s="148" t="s">
        <v>502</v>
      </c>
      <c r="E663" s="148" t="s">
        <v>3646</v>
      </c>
      <c r="F663" s="101" t="s">
        <v>5085</v>
      </c>
      <c r="G663" s="10"/>
      <c r="H663" s="101" t="s">
        <v>5087</v>
      </c>
      <c r="I663" s="148" t="s">
        <v>5086</v>
      </c>
      <c r="J663" s="37" t="s">
        <v>5088</v>
      </c>
      <c r="K663" s="310" t="s">
        <v>5089</v>
      </c>
      <c r="L663" s="19"/>
      <c r="M663" s="13"/>
      <c r="N663" s="249"/>
      <c r="O663" s="633" t="s">
        <v>4933</v>
      </c>
      <c r="P663" s="633" t="s">
        <v>180</v>
      </c>
      <c r="Q663" s="356">
        <v>1000</v>
      </c>
      <c r="R663" s="350">
        <v>500000</v>
      </c>
      <c r="S663" s="356">
        <v>675000</v>
      </c>
      <c r="T663" s="356">
        <f t="shared" si="111"/>
        <v>1175000</v>
      </c>
      <c r="U663" s="19"/>
      <c r="V663" s="19"/>
      <c r="W663" s="19"/>
      <c r="X663" s="19"/>
      <c r="Y663" s="19"/>
      <c r="Z663" s="376">
        <f t="shared" si="105"/>
        <v>0</v>
      </c>
      <c r="AA663" s="19"/>
      <c r="AB663" s="376">
        <f t="shared" si="109"/>
        <v>705000</v>
      </c>
      <c r="AC663" s="38">
        <f t="shared" si="108"/>
        <v>705000</v>
      </c>
      <c r="AD663" s="19" t="s">
        <v>5090</v>
      </c>
    </row>
    <row r="664" spans="1:30" s="272" customFormat="1" ht="47.25" x14ac:dyDescent="0.25">
      <c r="A664" s="74">
        <v>661</v>
      </c>
      <c r="B664" s="373">
        <v>44033</v>
      </c>
      <c r="C664" s="358" t="s">
        <v>5091</v>
      </c>
      <c r="D664" s="358" t="s">
        <v>3901</v>
      </c>
      <c r="E664" s="358" t="s">
        <v>3646</v>
      </c>
      <c r="F664" s="335" t="s">
        <v>5092</v>
      </c>
      <c r="G664" s="269"/>
      <c r="H664" s="335" t="s">
        <v>168</v>
      </c>
      <c r="I664" s="358" t="s">
        <v>5093</v>
      </c>
      <c r="J664" s="269"/>
      <c r="K664" s="380" t="s">
        <v>5094</v>
      </c>
      <c r="L664" s="266"/>
      <c r="M664" s="278"/>
      <c r="N664" s="439"/>
      <c r="O664" s="266" t="s">
        <v>4918</v>
      </c>
      <c r="P664" s="266" t="s">
        <v>180</v>
      </c>
      <c r="Q664" s="507">
        <v>300</v>
      </c>
      <c r="R664" s="549">
        <v>500000</v>
      </c>
      <c r="S664" s="507">
        <v>300000</v>
      </c>
      <c r="T664" s="602">
        <f t="shared" ref="T664:T671" si="112">R664+S664</f>
        <v>800000</v>
      </c>
      <c r="U664" s="266"/>
      <c r="V664" s="266"/>
      <c r="W664" s="266"/>
      <c r="X664" s="266"/>
      <c r="Y664" s="271">
        <v>0.35</v>
      </c>
      <c r="Z664" s="605">
        <f t="shared" si="105"/>
        <v>280000</v>
      </c>
      <c r="AA664" s="266"/>
      <c r="AB664" s="605">
        <f t="shared" si="109"/>
        <v>480000</v>
      </c>
      <c r="AC664" s="607">
        <f t="shared" si="108"/>
        <v>200000</v>
      </c>
      <c r="AD664" s="266"/>
    </row>
    <row r="665" spans="1:30" s="272" customFormat="1" ht="47.25" x14ac:dyDescent="0.25">
      <c r="A665" s="311">
        <v>662</v>
      </c>
      <c r="B665" s="373">
        <v>44033</v>
      </c>
      <c r="C665" s="358" t="s">
        <v>5095</v>
      </c>
      <c r="D665" s="358"/>
      <c r="E665" s="358" t="s">
        <v>309</v>
      </c>
      <c r="F665" s="335" t="s">
        <v>5097</v>
      </c>
      <c r="G665" s="269"/>
      <c r="H665" s="335" t="s">
        <v>168</v>
      </c>
      <c r="I665" s="358" t="s">
        <v>5096</v>
      </c>
      <c r="J665" s="269"/>
      <c r="K665" s="269"/>
      <c r="L665" s="266"/>
      <c r="M665" s="278"/>
      <c r="N665" s="439"/>
      <c r="O665" s="266" t="s">
        <v>4918</v>
      </c>
      <c r="P665" s="266" t="s">
        <v>180</v>
      </c>
      <c r="Q665" s="507">
        <v>300</v>
      </c>
      <c r="R665" s="549">
        <v>500000</v>
      </c>
      <c r="S665" s="507">
        <v>300000</v>
      </c>
      <c r="T665" s="602">
        <f t="shared" si="112"/>
        <v>800000</v>
      </c>
      <c r="U665" s="266"/>
      <c r="V665" s="266"/>
      <c r="W665" s="266"/>
      <c r="X665" s="266"/>
      <c r="Y665" s="271">
        <v>0.35</v>
      </c>
      <c r="Z665" s="605">
        <f t="shared" ref="Z665:Z737" si="113">T665*Y665</f>
        <v>280000</v>
      </c>
      <c r="AA665" s="266"/>
      <c r="AB665" s="605">
        <f t="shared" si="109"/>
        <v>480000</v>
      </c>
      <c r="AC665" s="607">
        <f t="shared" si="108"/>
        <v>200000</v>
      </c>
      <c r="AD665" s="266"/>
    </row>
    <row r="666" spans="1:30" s="272" customFormat="1" ht="31.5" x14ac:dyDescent="0.25">
      <c r="A666" s="113">
        <v>663</v>
      </c>
      <c r="B666" s="373">
        <v>44033</v>
      </c>
      <c r="C666" s="358" t="s">
        <v>5098</v>
      </c>
      <c r="D666" s="358"/>
      <c r="E666" s="358" t="s">
        <v>309</v>
      </c>
      <c r="F666" s="335" t="s">
        <v>5100</v>
      </c>
      <c r="G666" s="269"/>
      <c r="H666" s="335" t="s">
        <v>1800</v>
      </c>
      <c r="I666" s="358" t="s">
        <v>5099</v>
      </c>
      <c r="J666" s="269"/>
      <c r="K666" s="269"/>
      <c r="L666" s="266"/>
      <c r="M666" s="278"/>
      <c r="N666" s="439"/>
      <c r="O666" s="266" t="s">
        <v>4918</v>
      </c>
      <c r="P666" s="266" t="s">
        <v>180</v>
      </c>
      <c r="Q666" s="507">
        <v>300</v>
      </c>
      <c r="R666" s="549">
        <v>500000</v>
      </c>
      <c r="S666" s="507">
        <v>300000</v>
      </c>
      <c r="T666" s="602">
        <f t="shared" si="112"/>
        <v>800000</v>
      </c>
      <c r="U666" s="266"/>
      <c r="V666" s="266"/>
      <c r="W666" s="266"/>
      <c r="X666" s="266"/>
      <c r="Y666" s="271">
        <v>0.35</v>
      </c>
      <c r="Z666" s="605">
        <f t="shared" si="113"/>
        <v>280000</v>
      </c>
      <c r="AA666" s="266"/>
      <c r="AB666" s="605">
        <f t="shared" si="109"/>
        <v>480000</v>
      </c>
      <c r="AC666" s="607">
        <f t="shared" si="108"/>
        <v>200000</v>
      </c>
      <c r="AD666" s="266"/>
    </row>
    <row r="667" spans="1:30" s="272" customFormat="1" ht="47.25" x14ac:dyDescent="0.25">
      <c r="A667" s="74">
        <v>664</v>
      </c>
      <c r="B667" s="373">
        <v>44033</v>
      </c>
      <c r="C667" s="358" t="s">
        <v>5101</v>
      </c>
      <c r="D667" s="358"/>
      <c r="E667" s="358" t="s">
        <v>309</v>
      </c>
      <c r="F667" s="335" t="s">
        <v>5103</v>
      </c>
      <c r="G667" s="269"/>
      <c r="H667" s="335" t="s">
        <v>353</v>
      </c>
      <c r="I667" s="358" t="s">
        <v>5102</v>
      </c>
      <c r="J667" s="269"/>
      <c r="K667" s="269"/>
      <c r="L667" s="266"/>
      <c r="M667" s="278"/>
      <c r="N667" s="439"/>
      <c r="O667" s="266" t="s">
        <v>4918</v>
      </c>
      <c r="P667" s="266" t="s">
        <v>180</v>
      </c>
      <c r="Q667" s="507">
        <v>300</v>
      </c>
      <c r="R667" s="549">
        <v>500000</v>
      </c>
      <c r="S667" s="507">
        <v>300000</v>
      </c>
      <c r="T667" s="602">
        <f t="shared" si="112"/>
        <v>800000</v>
      </c>
      <c r="U667" s="266"/>
      <c r="V667" s="266"/>
      <c r="W667" s="266"/>
      <c r="X667" s="266"/>
      <c r="Y667" s="271">
        <v>0.35</v>
      </c>
      <c r="Z667" s="605">
        <f t="shared" si="113"/>
        <v>280000</v>
      </c>
      <c r="AA667" s="266"/>
      <c r="AB667" s="605">
        <f t="shared" si="109"/>
        <v>480000</v>
      </c>
      <c r="AC667" s="607">
        <f t="shared" si="108"/>
        <v>200000</v>
      </c>
      <c r="AD667" s="266"/>
    </row>
    <row r="668" spans="1:30" s="272" customFormat="1" ht="47.25" x14ac:dyDescent="0.25">
      <c r="A668" s="311">
        <v>665</v>
      </c>
      <c r="B668" s="373">
        <v>44033</v>
      </c>
      <c r="C668" s="358" t="s">
        <v>5104</v>
      </c>
      <c r="D668" s="358"/>
      <c r="E668" s="358" t="s">
        <v>309</v>
      </c>
      <c r="F668" s="335" t="s">
        <v>5105</v>
      </c>
      <c r="G668" s="269"/>
      <c r="H668" s="335" t="s">
        <v>353</v>
      </c>
      <c r="I668" s="358" t="s">
        <v>5102</v>
      </c>
      <c r="J668" s="269"/>
      <c r="K668" s="269"/>
      <c r="L668" s="266"/>
      <c r="M668" s="278"/>
      <c r="N668" s="439"/>
      <c r="O668" s="266" t="s">
        <v>4918</v>
      </c>
      <c r="P668" s="266" t="s">
        <v>180</v>
      </c>
      <c r="Q668" s="507">
        <v>300</v>
      </c>
      <c r="R668" s="549">
        <v>500000</v>
      </c>
      <c r="S668" s="507">
        <v>300000</v>
      </c>
      <c r="T668" s="602">
        <f t="shared" si="112"/>
        <v>800000</v>
      </c>
      <c r="U668" s="266"/>
      <c r="V668" s="266"/>
      <c r="W668" s="266"/>
      <c r="X668" s="266"/>
      <c r="Y668" s="271">
        <v>0.35</v>
      </c>
      <c r="Z668" s="605">
        <f t="shared" si="113"/>
        <v>280000</v>
      </c>
      <c r="AA668" s="266"/>
      <c r="AB668" s="605">
        <f t="shared" si="109"/>
        <v>480000</v>
      </c>
      <c r="AC668" s="607">
        <f t="shared" si="108"/>
        <v>200000</v>
      </c>
      <c r="AD668" s="266"/>
    </row>
    <row r="669" spans="1:30" s="272" customFormat="1" ht="31.5" x14ac:dyDescent="0.25">
      <c r="A669" s="113">
        <v>666</v>
      </c>
      <c r="B669" s="373">
        <v>44033</v>
      </c>
      <c r="C669" s="358" t="s">
        <v>5106</v>
      </c>
      <c r="D669" s="358"/>
      <c r="E669" s="358" t="s">
        <v>309</v>
      </c>
      <c r="F669" s="335" t="s">
        <v>4999</v>
      </c>
      <c r="G669" s="269"/>
      <c r="H669" s="335" t="s">
        <v>273</v>
      </c>
      <c r="I669" s="358" t="s">
        <v>5107</v>
      </c>
      <c r="J669" s="269"/>
      <c r="K669" s="269"/>
      <c r="L669" s="266"/>
      <c r="M669" s="278"/>
      <c r="N669" s="439"/>
      <c r="O669" s="266" t="s">
        <v>4918</v>
      </c>
      <c r="P669" s="266" t="s">
        <v>180</v>
      </c>
      <c r="Q669" s="507">
        <v>300</v>
      </c>
      <c r="R669" s="549">
        <v>500000</v>
      </c>
      <c r="S669" s="507">
        <v>300000</v>
      </c>
      <c r="T669" s="602">
        <f t="shared" si="112"/>
        <v>800000</v>
      </c>
      <c r="U669" s="266"/>
      <c r="V669" s="266"/>
      <c r="W669" s="266"/>
      <c r="X669" s="266"/>
      <c r="Y669" s="271">
        <v>0.35</v>
      </c>
      <c r="Z669" s="605">
        <f t="shared" si="113"/>
        <v>280000</v>
      </c>
      <c r="AA669" s="266"/>
      <c r="AB669" s="605">
        <f t="shared" si="109"/>
        <v>480000</v>
      </c>
      <c r="AC669" s="607">
        <f t="shared" si="108"/>
        <v>200000</v>
      </c>
      <c r="AD669" s="266"/>
    </row>
    <row r="670" spans="1:30" s="272" customFormat="1" ht="47.25" x14ac:dyDescent="0.25">
      <c r="A670" s="74">
        <v>667</v>
      </c>
      <c r="B670" s="373">
        <v>44033</v>
      </c>
      <c r="C670" s="358" t="s">
        <v>5108</v>
      </c>
      <c r="D670" s="358"/>
      <c r="E670" s="358" t="s">
        <v>2404</v>
      </c>
      <c r="F670" s="335" t="s">
        <v>5109</v>
      </c>
      <c r="G670" s="269"/>
      <c r="H670" s="335" t="s">
        <v>273</v>
      </c>
      <c r="I670" s="358" t="s">
        <v>5110</v>
      </c>
      <c r="J670" s="269"/>
      <c r="K670" s="269"/>
      <c r="L670" s="266"/>
      <c r="M670" s="278"/>
      <c r="N670" s="439"/>
      <c r="O670" s="266" t="s">
        <v>4918</v>
      </c>
      <c r="P670" s="266" t="s">
        <v>94</v>
      </c>
      <c r="Q670" s="507">
        <v>300</v>
      </c>
      <c r="R670" s="549"/>
      <c r="S670" s="507">
        <v>300000</v>
      </c>
      <c r="T670" s="602">
        <f t="shared" si="112"/>
        <v>300000</v>
      </c>
      <c r="U670" s="266"/>
      <c r="V670" s="266"/>
      <c r="W670" s="266"/>
      <c r="X670" s="266"/>
      <c r="Y670" s="271">
        <v>0.35</v>
      </c>
      <c r="Z670" s="605">
        <f t="shared" si="113"/>
        <v>105000</v>
      </c>
      <c r="AA670" s="266"/>
      <c r="AB670" s="605">
        <f t="shared" si="109"/>
        <v>180000</v>
      </c>
      <c r="AC670" s="607">
        <f t="shared" si="108"/>
        <v>75000</v>
      </c>
      <c r="AD670" s="266"/>
    </row>
    <row r="671" spans="1:30" s="272" customFormat="1" ht="47.25" x14ac:dyDescent="0.25">
      <c r="A671" s="311">
        <v>668</v>
      </c>
      <c r="B671" s="373">
        <v>44034</v>
      </c>
      <c r="C671" s="358" t="s">
        <v>5111</v>
      </c>
      <c r="D671" s="358" t="s">
        <v>4402</v>
      </c>
      <c r="E671" s="358" t="s">
        <v>3646</v>
      </c>
      <c r="F671" s="335" t="s">
        <v>5113</v>
      </c>
      <c r="G671" s="269"/>
      <c r="H671" s="335" t="s">
        <v>273</v>
      </c>
      <c r="I671" s="358" t="s">
        <v>5112</v>
      </c>
      <c r="J671" s="498" t="s">
        <v>5114</v>
      </c>
      <c r="K671" s="380" t="s">
        <v>5115</v>
      </c>
      <c r="L671" s="266"/>
      <c r="M671" s="278"/>
      <c r="N671" s="439"/>
      <c r="O671" s="266" t="s">
        <v>4918</v>
      </c>
      <c r="P671" s="266" t="s">
        <v>94</v>
      </c>
      <c r="Q671" s="507">
        <v>300</v>
      </c>
      <c r="R671" s="549"/>
      <c r="S671" s="507">
        <v>300000</v>
      </c>
      <c r="T671" s="602">
        <f t="shared" si="112"/>
        <v>300000</v>
      </c>
      <c r="U671" s="266"/>
      <c r="V671" s="266"/>
      <c r="W671" s="266"/>
      <c r="X671" s="266"/>
      <c r="Y671" s="271">
        <v>0.35</v>
      </c>
      <c r="Z671" s="605">
        <f t="shared" si="113"/>
        <v>105000</v>
      </c>
      <c r="AA671" s="266"/>
      <c r="AB671" s="605">
        <f t="shared" si="109"/>
        <v>180000</v>
      </c>
      <c r="AC671" s="607">
        <f t="shared" si="108"/>
        <v>75000</v>
      </c>
      <c r="AD671" s="266"/>
    </row>
    <row r="672" spans="1:30" ht="30" x14ac:dyDescent="0.25">
      <c r="A672" s="113">
        <v>669</v>
      </c>
      <c r="B672" s="373">
        <v>44035</v>
      </c>
      <c r="C672" s="629" t="s">
        <v>1146</v>
      </c>
      <c r="D672" s="148"/>
      <c r="E672" s="148" t="s">
        <v>3646</v>
      </c>
      <c r="F672" s="628">
        <v>108474051</v>
      </c>
      <c r="G672" s="10"/>
      <c r="H672" s="101"/>
      <c r="I672" s="148"/>
      <c r="J672" s="10"/>
      <c r="K672" s="10"/>
      <c r="L672" s="19"/>
      <c r="M672" s="13"/>
      <c r="N672" s="249"/>
      <c r="O672" s="628" t="s">
        <v>5126</v>
      </c>
      <c r="P672" s="628" t="s">
        <v>94</v>
      </c>
      <c r="Q672" s="19">
        <v>5000</v>
      </c>
      <c r="R672" s="13"/>
      <c r="S672" s="19">
        <v>2250000</v>
      </c>
      <c r="T672" s="247">
        <f>S672+R672</f>
        <v>2250000</v>
      </c>
      <c r="U672" s="19"/>
      <c r="V672" s="19"/>
      <c r="W672" s="19"/>
      <c r="X672" s="19"/>
      <c r="Y672" s="19"/>
      <c r="Z672" s="605">
        <f t="shared" si="113"/>
        <v>0</v>
      </c>
      <c r="AA672" s="19"/>
      <c r="AB672" s="605">
        <f t="shared" si="109"/>
        <v>1350000</v>
      </c>
      <c r="AC672" s="607">
        <f t="shared" si="108"/>
        <v>1350000</v>
      </c>
      <c r="AD672" s="19" t="s">
        <v>5127</v>
      </c>
    </row>
    <row r="673" spans="1:30" ht="30" x14ac:dyDescent="0.25">
      <c r="A673" s="74">
        <v>670</v>
      </c>
      <c r="B673" s="373">
        <v>44035</v>
      </c>
      <c r="C673" s="629" t="s">
        <v>5122</v>
      </c>
      <c r="D673" s="148"/>
      <c r="E673" s="148" t="s">
        <v>2404</v>
      </c>
      <c r="F673" s="628" t="s">
        <v>5118</v>
      </c>
      <c r="G673" s="10"/>
      <c r="H673" s="101"/>
      <c r="I673" s="148"/>
      <c r="J673" s="10"/>
      <c r="K673" s="10"/>
      <c r="L673" s="19"/>
      <c r="M673" s="13"/>
      <c r="N673" s="249"/>
      <c r="O673" s="628" t="s">
        <v>4917</v>
      </c>
      <c r="P673" s="628" t="s">
        <v>180</v>
      </c>
      <c r="Q673" s="19"/>
      <c r="R673" s="13"/>
      <c r="S673" s="19"/>
      <c r="T673" s="19"/>
      <c r="U673" s="19"/>
      <c r="V673" s="19"/>
      <c r="W673" s="19"/>
      <c r="X673" s="19"/>
      <c r="Y673" s="19"/>
      <c r="Z673" s="605">
        <f t="shared" si="113"/>
        <v>0</v>
      </c>
      <c r="AA673" s="19"/>
      <c r="AB673" s="605">
        <f t="shared" si="109"/>
        <v>0</v>
      </c>
      <c r="AC673" s="607">
        <f t="shared" si="108"/>
        <v>0</v>
      </c>
      <c r="AD673" s="19"/>
    </row>
    <row r="674" spans="1:30" s="272" customFormat="1" ht="30" x14ac:dyDescent="0.25">
      <c r="A674" s="311">
        <v>671</v>
      </c>
      <c r="B674" s="373">
        <v>44035</v>
      </c>
      <c r="C674" s="630" t="s">
        <v>5123</v>
      </c>
      <c r="D674" s="358"/>
      <c r="E674" s="358" t="s">
        <v>3646</v>
      </c>
      <c r="F674" s="631" t="s">
        <v>5119</v>
      </c>
      <c r="G674" s="269"/>
      <c r="H674" s="335"/>
      <c r="I674" s="358"/>
      <c r="J674" s="269"/>
      <c r="K674" s="269"/>
      <c r="L674" s="266"/>
      <c r="M674" s="278"/>
      <c r="N674" s="439"/>
      <c r="O674" s="631" t="s">
        <v>4918</v>
      </c>
      <c r="P674" s="631" t="s">
        <v>180</v>
      </c>
      <c r="Q674" s="507">
        <v>300</v>
      </c>
      <c r="R674" s="549">
        <v>500000</v>
      </c>
      <c r="S674" s="507">
        <v>300000</v>
      </c>
      <c r="T674" s="602">
        <f t="shared" ref="T674:T677" si="114">R674+S674</f>
        <v>800000</v>
      </c>
      <c r="U674" s="266"/>
      <c r="V674" s="266"/>
      <c r="W674" s="266"/>
      <c r="X674" s="266"/>
      <c r="Y674" s="271">
        <v>0.35</v>
      </c>
      <c r="Z674" s="605">
        <f t="shared" si="113"/>
        <v>280000</v>
      </c>
      <c r="AA674" s="266"/>
      <c r="AB674" s="605">
        <f t="shared" si="109"/>
        <v>480000</v>
      </c>
      <c r="AC674" s="607">
        <f t="shared" si="108"/>
        <v>200000</v>
      </c>
      <c r="AD674" s="266"/>
    </row>
    <row r="675" spans="1:30" s="272" customFormat="1" ht="31.5" x14ac:dyDescent="0.25">
      <c r="A675" s="113">
        <v>672</v>
      </c>
      <c r="B675" s="373">
        <v>44035</v>
      </c>
      <c r="C675" s="630" t="s">
        <v>5124</v>
      </c>
      <c r="D675" s="358" t="s">
        <v>3308</v>
      </c>
      <c r="E675" s="358" t="s">
        <v>3646</v>
      </c>
      <c r="F675" s="635" t="s">
        <v>5120</v>
      </c>
      <c r="G675" s="269"/>
      <c r="H675" s="335"/>
      <c r="I675" s="358"/>
      <c r="J675" s="269" t="s">
        <v>5128</v>
      </c>
      <c r="K675" s="269"/>
      <c r="L675" s="266"/>
      <c r="M675" s="278"/>
      <c r="N675" s="439"/>
      <c r="O675" s="631" t="s">
        <v>4918</v>
      </c>
      <c r="P675" s="631" t="s">
        <v>180</v>
      </c>
      <c r="Q675" s="507">
        <v>300</v>
      </c>
      <c r="R675" s="549">
        <v>500000</v>
      </c>
      <c r="S675" s="507">
        <v>300000</v>
      </c>
      <c r="T675" s="602">
        <f t="shared" si="114"/>
        <v>800000</v>
      </c>
      <c r="U675" s="266"/>
      <c r="V675" s="266"/>
      <c r="W675" s="266"/>
      <c r="X675" s="266"/>
      <c r="Y675" s="271">
        <v>0.35</v>
      </c>
      <c r="Z675" s="605">
        <f t="shared" si="113"/>
        <v>280000</v>
      </c>
      <c r="AA675" s="266"/>
      <c r="AB675" s="605">
        <f t="shared" si="109"/>
        <v>480000</v>
      </c>
      <c r="AC675" s="607">
        <f t="shared" si="108"/>
        <v>200000</v>
      </c>
      <c r="AD675" s="266"/>
    </row>
    <row r="676" spans="1:30" s="272" customFormat="1" ht="45" x14ac:dyDescent="0.25">
      <c r="A676" s="74">
        <v>673</v>
      </c>
      <c r="B676" s="373">
        <v>44035</v>
      </c>
      <c r="C676" s="630" t="s">
        <v>5125</v>
      </c>
      <c r="D676" s="358"/>
      <c r="E676" s="358" t="s">
        <v>3646</v>
      </c>
      <c r="F676" s="635" t="s">
        <v>5121</v>
      </c>
      <c r="G676" s="269"/>
      <c r="H676" s="335"/>
      <c r="I676" s="358"/>
      <c r="J676" s="269" t="s">
        <v>5129</v>
      </c>
      <c r="K676" s="269"/>
      <c r="L676" s="266"/>
      <c r="M676" s="278"/>
      <c r="N676" s="439"/>
      <c r="O676" s="631" t="s">
        <v>4918</v>
      </c>
      <c r="P676" s="631" t="s">
        <v>180</v>
      </c>
      <c r="Q676" s="507">
        <v>300</v>
      </c>
      <c r="R676" s="549">
        <v>500000</v>
      </c>
      <c r="S676" s="507">
        <v>300000</v>
      </c>
      <c r="T676" s="602">
        <f t="shared" si="114"/>
        <v>800000</v>
      </c>
      <c r="U676" s="266"/>
      <c r="V676" s="266"/>
      <c r="W676" s="266"/>
      <c r="X676" s="266"/>
      <c r="Y676" s="271">
        <v>0.35</v>
      </c>
      <c r="Z676" s="605">
        <f t="shared" si="113"/>
        <v>280000</v>
      </c>
      <c r="AA676" s="266"/>
      <c r="AB676" s="605">
        <f t="shared" si="109"/>
        <v>480000</v>
      </c>
      <c r="AC676" s="607">
        <f t="shared" si="108"/>
        <v>200000</v>
      </c>
      <c r="AD676" s="266"/>
    </row>
    <row r="677" spans="1:30" s="272" customFormat="1" ht="30" x14ac:dyDescent="0.25">
      <c r="A677" s="311">
        <v>674</v>
      </c>
      <c r="B677" s="373">
        <v>44035</v>
      </c>
      <c r="C677" s="630" t="s">
        <v>4691</v>
      </c>
      <c r="D677" s="358"/>
      <c r="E677" s="358" t="s">
        <v>309</v>
      </c>
      <c r="F677" s="635" t="s">
        <v>4690</v>
      </c>
      <c r="G677" s="269"/>
      <c r="H677" s="335"/>
      <c r="I677" s="358"/>
      <c r="J677" s="269"/>
      <c r="K677" s="269"/>
      <c r="L677" s="266"/>
      <c r="M677" s="278"/>
      <c r="N677" s="439"/>
      <c r="O677" s="631" t="s">
        <v>4918</v>
      </c>
      <c r="P677" s="631" t="s">
        <v>180</v>
      </c>
      <c r="Q677" s="507">
        <v>300</v>
      </c>
      <c r="R677" s="549">
        <v>500000</v>
      </c>
      <c r="S677" s="507">
        <v>300000</v>
      </c>
      <c r="T677" s="602">
        <f t="shared" si="114"/>
        <v>800000</v>
      </c>
      <c r="U677" s="266"/>
      <c r="V677" s="266"/>
      <c r="W677" s="266"/>
      <c r="X677" s="266"/>
      <c r="Y677" s="271">
        <v>0.35</v>
      </c>
      <c r="Z677" s="605">
        <f t="shared" si="113"/>
        <v>280000</v>
      </c>
      <c r="AA677" s="266"/>
      <c r="AB677" s="605">
        <f t="shared" si="109"/>
        <v>480000</v>
      </c>
      <c r="AC677" s="607">
        <f t="shared" si="108"/>
        <v>200000</v>
      </c>
      <c r="AD677" s="266"/>
    </row>
    <row r="678" spans="1:30" x14ac:dyDescent="0.25">
      <c r="A678" s="113">
        <v>675</v>
      </c>
      <c r="B678" s="373">
        <v>44036</v>
      </c>
      <c r="C678" s="629" t="s">
        <v>5130</v>
      </c>
      <c r="D678" s="148"/>
      <c r="E678" s="148" t="s">
        <v>3646</v>
      </c>
      <c r="F678" s="628" t="s">
        <v>5134</v>
      </c>
      <c r="G678" s="10"/>
      <c r="H678" s="101"/>
      <c r="I678" s="148"/>
      <c r="J678" s="37" t="s">
        <v>5140</v>
      </c>
      <c r="K678" s="208" t="s">
        <v>5139</v>
      </c>
      <c r="L678" s="19"/>
      <c r="M678" s="13"/>
      <c r="N678" s="249"/>
      <c r="O678" s="628" t="s">
        <v>4917</v>
      </c>
      <c r="P678" s="628" t="s">
        <v>180</v>
      </c>
      <c r="Q678" s="19"/>
      <c r="R678" s="13"/>
      <c r="S678" s="19"/>
      <c r="T678" s="19"/>
      <c r="U678" s="19"/>
      <c r="V678" s="19"/>
      <c r="W678" s="19"/>
      <c r="X678" s="19"/>
      <c r="Y678" s="19"/>
      <c r="Z678" s="605">
        <f t="shared" si="113"/>
        <v>0</v>
      </c>
      <c r="AA678" s="19"/>
      <c r="AB678" s="605">
        <f t="shared" si="109"/>
        <v>0</v>
      </c>
      <c r="AC678" s="607">
        <f t="shared" si="108"/>
        <v>0</v>
      </c>
      <c r="AD678" s="19"/>
    </row>
    <row r="679" spans="1:30" s="272" customFormat="1" ht="30" x14ac:dyDescent="0.25">
      <c r="A679" s="74">
        <v>676</v>
      </c>
      <c r="B679" s="373">
        <v>44036</v>
      </c>
      <c r="C679" s="630" t="s">
        <v>3775</v>
      </c>
      <c r="D679" s="358" t="s">
        <v>502</v>
      </c>
      <c r="E679" s="358" t="s">
        <v>3646</v>
      </c>
      <c r="F679" s="631" t="s">
        <v>3777</v>
      </c>
      <c r="G679" s="269"/>
      <c r="H679" s="335"/>
      <c r="I679" s="358"/>
      <c r="J679" s="269" t="s">
        <v>5141</v>
      </c>
      <c r="K679" s="380" t="s">
        <v>5142</v>
      </c>
      <c r="L679" s="266"/>
      <c r="M679" s="278"/>
      <c r="N679" s="439"/>
      <c r="O679" s="631" t="s">
        <v>4933</v>
      </c>
      <c r="P679" s="631" t="s">
        <v>180</v>
      </c>
      <c r="Q679" s="266">
        <v>1000</v>
      </c>
      <c r="R679" s="278">
        <v>500000</v>
      </c>
      <c r="S679" s="266">
        <v>675000</v>
      </c>
      <c r="T679" s="602">
        <f>S679+R679</f>
        <v>1175000</v>
      </c>
      <c r="U679" s="266"/>
      <c r="V679" s="266"/>
      <c r="W679" s="266"/>
      <c r="X679" s="266"/>
      <c r="Y679" s="266"/>
      <c r="Z679" s="605">
        <f t="shared" si="113"/>
        <v>0</v>
      </c>
      <c r="AA679" s="266"/>
      <c r="AB679" s="605">
        <f t="shared" si="109"/>
        <v>705000</v>
      </c>
      <c r="AC679" s="607">
        <f t="shared" si="108"/>
        <v>705000</v>
      </c>
      <c r="AD679" s="266"/>
    </row>
    <row r="680" spans="1:30" x14ac:dyDescent="0.25">
      <c r="A680" s="311">
        <v>677</v>
      </c>
      <c r="B680" s="373">
        <v>44036</v>
      </c>
      <c r="C680" s="629" t="s">
        <v>3728</v>
      </c>
      <c r="D680" s="148"/>
      <c r="E680" s="148" t="s">
        <v>3646</v>
      </c>
      <c r="F680" s="628" t="s">
        <v>5135</v>
      </c>
      <c r="G680" s="10"/>
      <c r="H680" s="101"/>
      <c r="I680" s="148"/>
      <c r="J680" s="10"/>
      <c r="K680" s="10"/>
      <c r="L680" s="19"/>
      <c r="M680" s="13"/>
      <c r="N680" s="249"/>
      <c r="O680" s="628" t="s">
        <v>1143</v>
      </c>
      <c r="P680" s="628" t="s">
        <v>180</v>
      </c>
      <c r="Q680" s="19"/>
      <c r="R680" s="13"/>
      <c r="S680" s="19"/>
      <c r="T680" s="19"/>
      <c r="U680" s="19"/>
      <c r="V680" s="19"/>
      <c r="W680" s="19"/>
      <c r="X680" s="19"/>
      <c r="Y680" s="19"/>
      <c r="Z680" s="605">
        <f t="shared" si="113"/>
        <v>0</v>
      </c>
      <c r="AA680" s="19"/>
      <c r="AB680" s="605">
        <f t="shared" si="109"/>
        <v>0</v>
      </c>
      <c r="AC680" s="607">
        <f t="shared" si="108"/>
        <v>0</v>
      </c>
      <c r="AD680" s="19"/>
    </row>
    <row r="681" spans="1:30" s="272" customFormat="1" ht="30" x14ac:dyDescent="0.25">
      <c r="A681" s="113">
        <v>678</v>
      </c>
      <c r="B681" s="373">
        <v>44036</v>
      </c>
      <c r="C681" s="630" t="s">
        <v>5131</v>
      </c>
      <c r="D681" s="358" t="s">
        <v>502</v>
      </c>
      <c r="E681" s="358"/>
      <c r="F681" s="631" t="s">
        <v>5136</v>
      </c>
      <c r="G681" s="269"/>
      <c r="H681" s="335"/>
      <c r="I681" s="358"/>
      <c r="J681" s="269" t="s">
        <v>5144</v>
      </c>
      <c r="K681" s="380" t="s">
        <v>5143</v>
      </c>
      <c r="L681" s="266"/>
      <c r="M681" s="278"/>
      <c r="N681" s="439"/>
      <c r="O681" s="631" t="s">
        <v>4959</v>
      </c>
      <c r="P681" s="631" t="s">
        <v>180</v>
      </c>
      <c r="Q681" s="272">
        <v>2000</v>
      </c>
      <c r="R681" s="278">
        <v>500000</v>
      </c>
      <c r="S681" s="266">
        <v>1100000</v>
      </c>
      <c r="T681" s="602">
        <f>S681+R681</f>
        <v>1600000</v>
      </c>
      <c r="U681" s="266"/>
      <c r="V681" s="266"/>
      <c r="W681" s="266"/>
      <c r="X681" s="266"/>
      <c r="Y681" s="266"/>
      <c r="Z681" s="605">
        <f t="shared" si="113"/>
        <v>0</v>
      </c>
      <c r="AA681" s="266"/>
      <c r="AB681" s="605">
        <f t="shared" si="109"/>
        <v>960000</v>
      </c>
      <c r="AC681" s="607">
        <f t="shared" si="108"/>
        <v>960000</v>
      </c>
      <c r="AD681" s="266"/>
    </row>
    <row r="682" spans="1:30" s="272" customFormat="1" x14ac:dyDescent="0.25">
      <c r="A682" s="74">
        <v>679</v>
      </c>
      <c r="B682" s="373">
        <v>44036</v>
      </c>
      <c r="C682" s="630" t="s">
        <v>5132</v>
      </c>
      <c r="D682" s="358"/>
      <c r="E682" s="358" t="s">
        <v>309</v>
      </c>
      <c r="F682" s="631" t="s">
        <v>5137</v>
      </c>
      <c r="G682" s="269"/>
      <c r="H682" s="335"/>
      <c r="I682" s="358"/>
      <c r="J682" s="269"/>
      <c r="K682" s="269"/>
      <c r="L682" s="266"/>
      <c r="M682" s="278"/>
      <c r="N682" s="439"/>
      <c r="O682" s="631" t="s">
        <v>4918</v>
      </c>
      <c r="P682" s="631" t="s">
        <v>180</v>
      </c>
      <c r="Q682" s="507">
        <v>300</v>
      </c>
      <c r="R682" s="549">
        <v>500000</v>
      </c>
      <c r="S682" s="507">
        <v>300000</v>
      </c>
      <c r="T682" s="602">
        <f t="shared" ref="T682:T683" si="115">R682+S682</f>
        <v>800000</v>
      </c>
      <c r="U682" s="266"/>
      <c r="V682" s="266"/>
      <c r="W682" s="266"/>
      <c r="X682" s="266"/>
      <c r="Y682" s="271">
        <v>0.35</v>
      </c>
      <c r="Z682" s="605">
        <f t="shared" si="113"/>
        <v>280000</v>
      </c>
      <c r="AA682" s="266"/>
      <c r="AB682" s="605">
        <f t="shared" si="109"/>
        <v>480000</v>
      </c>
      <c r="AC682" s="607">
        <f t="shared" si="108"/>
        <v>200000</v>
      </c>
      <c r="AD682" s="266"/>
    </row>
    <row r="683" spans="1:30" s="272" customFormat="1" ht="30" x14ac:dyDescent="0.25">
      <c r="A683" s="311">
        <v>680</v>
      </c>
      <c r="B683" s="373">
        <v>44036</v>
      </c>
      <c r="C683" s="630" t="s">
        <v>5133</v>
      </c>
      <c r="D683" s="358"/>
      <c r="E683" s="358" t="s">
        <v>309</v>
      </c>
      <c r="F683" s="631" t="s">
        <v>5138</v>
      </c>
      <c r="G683" s="269"/>
      <c r="H683" s="335"/>
      <c r="I683" s="358"/>
      <c r="J683" s="269"/>
      <c r="K683" s="269"/>
      <c r="L683" s="266"/>
      <c r="M683" s="278"/>
      <c r="N683" s="439"/>
      <c r="O683" s="631" t="s">
        <v>4918</v>
      </c>
      <c r="P683" s="631" t="s">
        <v>180</v>
      </c>
      <c r="Q683" s="507">
        <v>300</v>
      </c>
      <c r="R683" s="549">
        <v>500000</v>
      </c>
      <c r="S683" s="507">
        <v>300000</v>
      </c>
      <c r="T683" s="602">
        <f t="shared" si="115"/>
        <v>800000</v>
      </c>
      <c r="U683" s="266"/>
      <c r="V683" s="266"/>
      <c r="W683" s="266"/>
      <c r="X683" s="266"/>
      <c r="Y683" s="271">
        <v>0.35</v>
      </c>
      <c r="Z683" s="605">
        <f t="shared" si="113"/>
        <v>280000</v>
      </c>
      <c r="AA683" s="266"/>
      <c r="AB683" s="605">
        <f t="shared" si="109"/>
        <v>480000</v>
      </c>
      <c r="AC683" s="607">
        <f t="shared" si="108"/>
        <v>200000</v>
      </c>
      <c r="AD683" s="266"/>
    </row>
    <row r="684" spans="1:30" ht="30" x14ac:dyDescent="0.25">
      <c r="A684" s="113">
        <v>681</v>
      </c>
      <c r="B684" s="22">
        <v>44037</v>
      </c>
      <c r="C684" s="632" t="s">
        <v>5145</v>
      </c>
      <c r="D684" s="148" t="s">
        <v>4125</v>
      </c>
      <c r="E684" s="148" t="s">
        <v>4753</v>
      </c>
      <c r="F684" s="633" t="s">
        <v>5159</v>
      </c>
      <c r="G684" s="269"/>
      <c r="H684" s="101"/>
      <c r="I684" s="148"/>
      <c r="J684" s="10"/>
      <c r="K684" s="10"/>
      <c r="L684" s="19"/>
      <c r="M684" s="278"/>
      <c r="N684" s="249"/>
      <c r="O684" s="633" t="s">
        <v>4933</v>
      </c>
      <c r="P684" s="633" t="s">
        <v>180</v>
      </c>
      <c r="Q684" s="19">
        <v>1000</v>
      </c>
      <c r="R684" s="13">
        <v>500000</v>
      </c>
      <c r="S684" s="19">
        <v>675000</v>
      </c>
      <c r="T684" s="19">
        <v>1175000</v>
      </c>
      <c r="U684" s="266"/>
      <c r="V684" s="266"/>
      <c r="W684" s="266"/>
      <c r="X684" s="266"/>
      <c r="Y684" s="165">
        <v>0.35</v>
      </c>
      <c r="Z684" s="376">
        <f t="shared" si="113"/>
        <v>411250</v>
      </c>
      <c r="AA684" s="19"/>
      <c r="AB684" s="376">
        <f t="shared" si="109"/>
        <v>705000</v>
      </c>
      <c r="AC684" s="38">
        <f t="shared" si="108"/>
        <v>293750</v>
      </c>
      <c r="AD684" s="19"/>
    </row>
    <row r="685" spans="1:30" ht="30" x14ac:dyDescent="0.25">
      <c r="A685" s="74">
        <v>682</v>
      </c>
      <c r="B685" s="22">
        <v>44037</v>
      </c>
      <c r="C685" s="629" t="s">
        <v>5146</v>
      </c>
      <c r="D685" s="148"/>
      <c r="E685" s="148"/>
      <c r="F685" s="628" t="s">
        <v>5160</v>
      </c>
      <c r="G685" s="10"/>
      <c r="H685" s="101"/>
      <c r="I685" s="148"/>
      <c r="J685" s="10"/>
      <c r="K685" s="10"/>
      <c r="L685" s="19"/>
      <c r="M685" s="13"/>
      <c r="N685" s="249"/>
      <c r="O685" s="628" t="s">
        <v>4917</v>
      </c>
      <c r="P685" s="628" t="s">
        <v>180</v>
      </c>
      <c r="Q685" s="19"/>
      <c r="R685" s="13"/>
      <c r="S685" s="19"/>
      <c r="T685" s="19"/>
      <c r="U685" s="19"/>
      <c r="V685" s="19"/>
      <c r="W685" s="19"/>
      <c r="X685" s="19"/>
      <c r="Y685" s="19"/>
      <c r="Z685" s="605">
        <f t="shared" si="113"/>
        <v>0</v>
      </c>
      <c r="AA685" s="19"/>
      <c r="AB685" s="605">
        <f t="shared" si="109"/>
        <v>0</v>
      </c>
      <c r="AC685" s="607">
        <f t="shared" si="108"/>
        <v>0</v>
      </c>
      <c r="AD685" s="19"/>
    </row>
    <row r="686" spans="1:30" ht="30" x14ac:dyDescent="0.25">
      <c r="A686" s="311">
        <v>683</v>
      </c>
      <c r="B686" s="22">
        <v>44037</v>
      </c>
      <c r="C686" s="629" t="s">
        <v>5147</v>
      </c>
      <c r="D686" s="148"/>
      <c r="E686" s="148"/>
      <c r="F686" s="628" t="s">
        <v>5161</v>
      </c>
      <c r="G686" s="10"/>
      <c r="H686" s="101"/>
      <c r="I686" s="148"/>
      <c r="J686" s="10"/>
      <c r="K686" s="10"/>
      <c r="L686" s="19"/>
      <c r="M686" s="13"/>
      <c r="N686" s="249"/>
      <c r="O686" s="628" t="s">
        <v>4917</v>
      </c>
      <c r="P686" s="628" t="s">
        <v>180</v>
      </c>
      <c r="Q686" s="19"/>
      <c r="R686" s="13"/>
      <c r="S686" s="19"/>
      <c r="T686" s="19"/>
      <c r="U686" s="19"/>
      <c r="V686" s="19"/>
      <c r="W686" s="19"/>
      <c r="X686" s="19"/>
      <c r="Y686" s="19"/>
      <c r="Z686" s="605">
        <f t="shared" si="113"/>
        <v>0</v>
      </c>
      <c r="AA686" s="19"/>
      <c r="AB686" s="605">
        <f t="shared" si="109"/>
        <v>0</v>
      </c>
      <c r="AC686" s="607">
        <f t="shared" si="108"/>
        <v>0</v>
      </c>
      <c r="AD686" s="19"/>
    </row>
    <row r="687" spans="1:30" x14ac:dyDescent="0.25">
      <c r="A687" s="113">
        <v>684</v>
      </c>
      <c r="B687" s="22">
        <v>44037</v>
      </c>
      <c r="C687" s="629" t="s">
        <v>5148</v>
      </c>
      <c r="D687" s="148"/>
      <c r="E687" s="148"/>
      <c r="F687" s="628" t="s">
        <v>5162</v>
      </c>
      <c r="G687" s="10"/>
      <c r="H687" s="101"/>
      <c r="I687" s="148"/>
      <c r="J687" s="10"/>
      <c r="K687" s="10"/>
      <c r="L687" s="19"/>
      <c r="M687" s="13"/>
      <c r="N687" s="249"/>
      <c r="O687" s="628" t="s">
        <v>4917</v>
      </c>
      <c r="P687" s="628" t="s">
        <v>180</v>
      </c>
      <c r="Q687" s="19"/>
      <c r="R687" s="13"/>
      <c r="S687" s="19"/>
      <c r="T687" s="19"/>
      <c r="U687" s="19"/>
      <c r="V687" s="19"/>
      <c r="W687" s="19"/>
      <c r="X687" s="19"/>
      <c r="Y687" s="19"/>
      <c r="Z687" s="605">
        <f t="shared" si="113"/>
        <v>0</v>
      </c>
      <c r="AA687" s="19"/>
      <c r="AB687" s="605">
        <f t="shared" si="109"/>
        <v>0</v>
      </c>
      <c r="AC687" s="607">
        <f t="shared" ref="AC687:AC759" si="116">AB687-Z687</f>
        <v>0</v>
      </c>
      <c r="AD687" s="19"/>
    </row>
    <row r="688" spans="1:30" ht="30" x14ac:dyDescent="0.25">
      <c r="A688" s="74">
        <v>685</v>
      </c>
      <c r="B688" s="22">
        <v>44037</v>
      </c>
      <c r="C688" s="629" t="s">
        <v>5149</v>
      </c>
      <c r="D688" s="148"/>
      <c r="E688" s="148"/>
      <c r="F688" s="628" t="s">
        <v>5163</v>
      </c>
      <c r="G688" s="10"/>
      <c r="H688" s="101"/>
      <c r="I688" s="148"/>
      <c r="J688" s="10"/>
      <c r="K688" s="10"/>
      <c r="L688" s="19"/>
      <c r="M688" s="13"/>
      <c r="N688" s="249"/>
      <c r="O688" s="628" t="s">
        <v>4917</v>
      </c>
      <c r="P688" s="628" t="s">
        <v>180</v>
      </c>
      <c r="Q688" s="19"/>
      <c r="R688" s="13"/>
      <c r="S688" s="19"/>
      <c r="T688" s="19"/>
      <c r="U688" s="19"/>
      <c r="V688" s="19"/>
      <c r="W688" s="19"/>
      <c r="X688" s="19"/>
      <c r="Y688" s="19"/>
      <c r="Z688" s="605">
        <f t="shared" si="113"/>
        <v>0</v>
      </c>
      <c r="AA688" s="19"/>
      <c r="AB688" s="605">
        <f t="shared" si="109"/>
        <v>0</v>
      </c>
      <c r="AC688" s="607">
        <f t="shared" si="116"/>
        <v>0</v>
      </c>
      <c r="AD688" s="19"/>
    </row>
    <row r="689" spans="1:30" s="272" customFormat="1" ht="25.5" customHeight="1" x14ac:dyDescent="0.25">
      <c r="A689" s="311">
        <v>686</v>
      </c>
      <c r="B689" s="373">
        <v>44037</v>
      </c>
      <c r="C689" s="630" t="s">
        <v>5150</v>
      </c>
      <c r="D689" s="358"/>
      <c r="E689" s="358" t="s">
        <v>3646</v>
      </c>
      <c r="F689" s="635" t="s">
        <v>5164</v>
      </c>
      <c r="G689" s="269"/>
      <c r="H689" s="335"/>
      <c r="I689" s="358"/>
      <c r="J689" s="269" t="s">
        <v>5174</v>
      </c>
      <c r="K689" s="380" t="s">
        <v>5173</v>
      </c>
      <c r="L689" s="266"/>
      <c r="M689" s="278"/>
      <c r="N689" s="439"/>
      <c r="O689" s="631" t="s">
        <v>4918</v>
      </c>
      <c r="P689" s="631" t="s">
        <v>180</v>
      </c>
      <c r="Q689" s="507">
        <v>300</v>
      </c>
      <c r="R689" s="549">
        <v>500000</v>
      </c>
      <c r="S689" s="507">
        <v>300000</v>
      </c>
      <c r="T689" s="602">
        <f t="shared" ref="T689" si="117">R689+S689</f>
        <v>800000</v>
      </c>
      <c r="U689" s="266"/>
      <c r="V689" s="266"/>
      <c r="W689" s="266"/>
      <c r="X689" s="266"/>
      <c r="Y689" s="271">
        <v>0.35</v>
      </c>
      <c r="Z689" s="605">
        <f t="shared" si="113"/>
        <v>280000</v>
      </c>
      <c r="AA689" s="266"/>
      <c r="AB689" s="605">
        <f t="shared" si="109"/>
        <v>480000</v>
      </c>
      <c r="AC689" s="607">
        <f t="shared" si="116"/>
        <v>200000</v>
      </c>
      <c r="AD689" s="266"/>
    </row>
    <row r="690" spans="1:30" ht="31.5" x14ac:dyDescent="0.25">
      <c r="A690" s="113">
        <v>687</v>
      </c>
      <c r="B690" s="22">
        <v>44037</v>
      </c>
      <c r="C690" s="632" t="s">
        <v>5151</v>
      </c>
      <c r="D690" s="148" t="s">
        <v>3308</v>
      </c>
      <c r="E690" s="148"/>
      <c r="F690" s="633" t="s">
        <v>5165</v>
      </c>
      <c r="G690" s="10"/>
      <c r="H690" s="101"/>
      <c r="I690" s="148"/>
      <c r="J690" s="37" t="s">
        <v>5176</v>
      </c>
      <c r="K690" s="310" t="s">
        <v>5175</v>
      </c>
      <c r="L690" s="19"/>
      <c r="M690" s="13"/>
      <c r="N690" s="249"/>
      <c r="O690" s="633" t="s">
        <v>4917</v>
      </c>
      <c r="P690" s="633" t="s">
        <v>180</v>
      </c>
      <c r="Q690" s="19"/>
      <c r="R690" s="13"/>
      <c r="S690" s="19"/>
      <c r="T690" s="19"/>
      <c r="U690" s="19"/>
      <c r="V690" s="19"/>
      <c r="W690" s="19"/>
      <c r="X690" s="19"/>
      <c r="Y690" s="19"/>
      <c r="Z690" s="376">
        <f t="shared" si="113"/>
        <v>0</v>
      </c>
      <c r="AA690" s="19"/>
      <c r="AB690" s="376">
        <f t="shared" si="109"/>
        <v>0</v>
      </c>
      <c r="AC690" s="38">
        <f t="shared" si="116"/>
        <v>0</v>
      </c>
      <c r="AD690" s="19"/>
    </row>
    <row r="691" spans="1:30" x14ac:dyDescent="0.25">
      <c r="A691" s="74">
        <v>688</v>
      </c>
      <c r="B691" s="22">
        <v>44037</v>
      </c>
      <c r="C691" s="629" t="s">
        <v>5152</v>
      </c>
      <c r="D691" s="148"/>
      <c r="E691" s="148"/>
      <c r="F691" s="628" t="s">
        <v>5166</v>
      </c>
      <c r="G691" s="10"/>
      <c r="H691" s="101"/>
      <c r="I691" s="148"/>
      <c r="J691" s="10"/>
      <c r="K691" s="10"/>
      <c r="L691" s="19"/>
      <c r="M691" s="13"/>
      <c r="N691" s="249"/>
      <c r="O691" s="628" t="s">
        <v>4917</v>
      </c>
      <c r="P691" s="628" t="s">
        <v>180</v>
      </c>
      <c r="Q691" s="19"/>
      <c r="R691" s="13"/>
      <c r="S691" s="19"/>
      <c r="T691" s="19"/>
      <c r="U691" s="19"/>
      <c r="V691" s="19"/>
      <c r="W691" s="19"/>
      <c r="X691" s="19"/>
      <c r="Y691" s="19"/>
      <c r="Z691" s="605">
        <f t="shared" si="113"/>
        <v>0</v>
      </c>
      <c r="AA691" s="19"/>
      <c r="AB691" s="605">
        <f t="shared" ref="AB691:AB763" si="118">T691*0.6</f>
        <v>0</v>
      </c>
      <c r="AC691" s="607">
        <f t="shared" si="116"/>
        <v>0</v>
      </c>
      <c r="AD691" s="19"/>
    </row>
    <row r="692" spans="1:30" s="320" customFormat="1" ht="30" x14ac:dyDescent="0.25">
      <c r="A692" s="311">
        <v>689</v>
      </c>
      <c r="B692" s="517">
        <v>44037</v>
      </c>
      <c r="C692" s="679" t="s">
        <v>5153</v>
      </c>
      <c r="D692" s="268"/>
      <c r="E692" s="268" t="s">
        <v>3646</v>
      </c>
      <c r="F692" s="678" t="s">
        <v>5167</v>
      </c>
      <c r="G692" s="269"/>
      <c r="H692" s="267"/>
      <c r="I692" s="268"/>
      <c r="J692" s="498" t="s">
        <v>5178</v>
      </c>
      <c r="K692" s="380" t="s">
        <v>5177</v>
      </c>
      <c r="L692" s="269"/>
      <c r="M692" s="270"/>
      <c r="N692" s="439"/>
      <c r="O692" s="678" t="s">
        <v>4918</v>
      </c>
      <c r="P692" s="678" t="s">
        <v>180</v>
      </c>
      <c r="Q692" s="507">
        <v>300</v>
      </c>
      <c r="R692" s="549">
        <v>500000</v>
      </c>
      <c r="S692" s="507">
        <v>300000</v>
      </c>
      <c r="T692" s="279">
        <f t="shared" ref="T692" si="119">R692+S692</f>
        <v>800000</v>
      </c>
      <c r="U692" s="269"/>
      <c r="V692" s="269"/>
      <c r="W692" s="269"/>
      <c r="X692" s="269"/>
      <c r="Y692" s="516">
        <v>0.35</v>
      </c>
      <c r="Z692" s="605">
        <f t="shared" si="113"/>
        <v>280000</v>
      </c>
      <c r="AA692" s="269"/>
      <c r="AB692" s="607">
        <f t="shared" si="118"/>
        <v>480000</v>
      </c>
      <c r="AC692" s="607">
        <f t="shared" si="116"/>
        <v>200000</v>
      </c>
      <c r="AD692" s="269"/>
    </row>
    <row r="693" spans="1:30" ht="30" x14ac:dyDescent="0.25">
      <c r="A693" s="113">
        <v>690</v>
      </c>
      <c r="B693" s="22">
        <v>44037</v>
      </c>
      <c r="C693" s="629" t="s">
        <v>5154</v>
      </c>
      <c r="D693" s="148"/>
      <c r="E693" s="148"/>
      <c r="F693" s="628" t="s">
        <v>5168</v>
      </c>
      <c r="G693" s="10"/>
      <c r="H693" s="101"/>
      <c r="I693" s="148"/>
      <c r="J693" s="10"/>
      <c r="K693" s="10"/>
      <c r="L693" s="19"/>
      <c r="M693" s="13"/>
      <c r="N693" s="249"/>
      <c r="O693" s="628" t="s">
        <v>4917</v>
      </c>
      <c r="P693" s="628" t="s">
        <v>180</v>
      </c>
      <c r="Q693" s="19"/>
      <c r="R693" s="13"/>
      <c r="S693" s="19"/>
      <c r="T693" s="19"/>
      <c r="U693" s="19"/>
      <c r="V693" s="19"/>
      <c r="W693" s="19"/>
      <c r="X693" s="19"/>
      <c r="Y693" s="19"/>
      <c r="Z693" s="605">
        <f t="shared" si="113"/>
        <v>0</v>
      </c>
      <c r="AA693" s="19"/>
      <c r="AB693" s="605">
        <f t="shared" si="118"/>
        <v>0</v>
      </c>
      <c r="AC693" s="607">
        <f t="shared" si="116"/>
        <v>0</v>
      </c>
      <c r="AD693" s="19"/>
    </row>
    <row r="694" spans="1:30" s="272" customFormat="1" ht="30" x14ac:dyDescent="0.25">
      <c r="A694" s="74">
        <v>691</v>
      </c>
      <c r="B694" s="373">
        <v>44037</v>
      </c>
      <c r="C694" s="630" t="s">
        <v>5155</v>
      </c>
      <c r="D694" s="358"/>
      <c r="E694" s="358"/>
      <c r="F694" s="631" t="s">
        <v>5169</v>
      </c>
      <c r="G694" s="269"/>
      <c r="H694" s="335"/>
      <c r="I694" s="358"/>
      <c r="J694" s="269"/>
      <c r="K694" s="269"/>
      <c r="L694" s="266"/>
      <c r="M694" s="278"/>
      <c r="N694" s="439"/>
      <c r="O694" s="631" t="s">
        <v>4918</v>
      </c>
      <c r="P694" s="631" t="s">
        <v>180</v>
      </c>
      <c r="Q694" s="507">
        <v>300</v>
      </c>
      <c r="R694" s="549">
        <v>500000</v>
      </c>
      <c r="S694" s="507">
        <v>300000</v>
      </c>
      <c r="T694" s="602">
        <f t="shared" ref="T694:T695" si="120">R694+S694</f>
        <v>800000</v>
      </c>
      <c r="U694" s="266"/>
      <c r="V694" s="266"/>
      <c r="W694" s="266"/>
      <c r="X694" s="266"/>
      <c r="Y694" s="271">
        <v>0.35</v>
      </c>
      <c r="Z694" s="605">
        <f t="shared" si="113"/>
        <v>280000</v>
      </c>
      <c r="AA694" s="266"/>
      <c r="AB694" s="605">
        <f t="shared" si="118"/>
        <v>480000</v>
      </c>
      <c r="AC694" s="607">
        <f t="shared" si="116"/>
        <v>200000</v>
      </c>
      <c r="AD694" s="266"/>
    </row>
    <row r="695" spans="1:30" s="272" customFormat="1" x14ac:dyDescent="0.25">
      <c r="A695" s="311">
        <v>692</v>
      </c>
      <c r="B695" s="373">
        <v>44037</v>
      </c>
      <c r="C695" s="630" t="s">
        <v>5156</v>
      </c>
      <c r="D695" s="358"/>
      <c r="E695" s="358"/>
      <c r="F695" s="631" t="s">
        <v>5170</v>
      </c>
      <c r="G695" s="269"/>
      <c r="H695" s="335"/>
      <c r="I695" s="358"/>
      <c r="J695" s="269"/>
      <c r="K695" s="269"/>
      <c r="L695" s="266"/>
      <c r="M695" s="278"/>
      <c r="N695" s="439"/>
      <c r="O695" s="631" t="s">
        <v>4918</v>
      </c>
      <c r="P695" s="631" t="s">
        <v>180</v>
      </c>
      <c r="Q695" s="507">
        <v>300</v>
      </c>
      <c r="R695" s="549">
        <v>500000</v>
      </c>
      <c r="S695" s="507">
        <v>300000</v>
      </c>
      <c r="T695" s="602">
        <f t="shared" si="120"/>
        <v>800000</v>
      </c>
      <c r="U695" s="266"/>
      <c r="V695" s="266"/>
      <c r="W695" s="266"/>
      <c r="X695" s="266"/>
      <c r="Y695" s="271">
        <v>0.35</v>
      </c>
      <c r="Z695" s="605">
        <f t="shared" si="113"/>
        <v>280000</v>
      </c>
      <c r="AA695" s="266"/>
      <c r="AB695" s="605">
        <f t="shared" si="118"/>
        <v>480000</v>
      </c>
      <c r="AC695" s="607">
        <f t="shared" si="116"/>
        <v>200000</v>
      </c>
      <c r="AD695" s="266"/>
    </row>
    <row r="696" spans="1:30" s="320" customFormat="1" ht="30" x14ac:dyDescent="0.25">
      <c r="A696" s="113">
        <v>693</v>
      </c>
      <c r="B696" s="517">
        <v>44037</v>
      </c>
      <c r="C696" s="679" t="s">
        <v>1399</v>
      </c>
      <c r="D696" s="268"/>
      <c r="E696" s="268"/>
      <c r="F696" s="678">
        <v>2500242226</v>
      </c>
      <c r="G696" s="269"/>
      <c r="H696" s="267"/>
      <c r="I696" s="268"/>
      <c r="J696" s="269"/>
      <c r="K696" s="269"/>
      <c r="L696" s="269"/>
      <c r="M696" s="270"/>
      <c r="N696" s="439"/>
      <c r="O696" s="678" t="s">
        <v>4959</v>
      </c>
      <c r="P696" s="678" t="s">
        <v>94</v>
      </c>
      <c r="Q696" s="269">
        <v>2000</v>
      </c>
      <c r="R696" s="270"/>
      <c r="S696" s="269">
        <v>1100000</v>
      </c>
      <c r="T696" s="279">
        <f>S696+R696</f>
        <v>1100000</v>
      </c>
      <c r="U696" s="269"/>
      <c r="V696" s="269"/>
      <c r="W696" s="269"/>
      <c r="X696" s="269"/>
      <c r="Y696" s="269"/>
      <c r="Z696" s="605">
        <f t="shared" si="113"/>
        <v>0</v>
      </c>
      <c r="AA696" s="269"/>
      <c r="AB696" s="607">
        <f t="shared" si="118"/>
        <v>660000</v>
      </c>
      <c r="AC696" s="607">
        <f t="shared" si="116"/>
        <v>660000</v>
      </c>
      <c r="AD696" s="269"/>
    </row>
    <row r="697" spans="1:30" s="272" customFormat="1" ht="31.5" x14ac:dyDescent="0.25">
      <c r="A697" s="74">
        <v>694</v>
      </c>
      <c r="B697" s="373">
        <v>44037</v>
      </c>
      <c r="C697" s="630" t="s">
        <v>5157</v>
      </c>
      <c r="D697" s="358" t="s">
        <v>1907</v>
      </c>
      <c r="E697" s="358"/>
      <c r="F697" s="631" t="s">
        <v>5171</v>
      </c>
      <c r="G697" s="269"/>
      <c r="H697" s="335"/>
      <c r="I697" s="358"/>
      <c r="J697" s="269"/>
      <c r="K697" s="269"/>
      <c r="L697" s="266"/>
      <c r="M697" s="278"/>
      <c r="N697" s="439"/>
      <c r="O697" s="631" t="s">
        <v>4933</v>
      </c>
      <c r="P697" s="631" t="s">
        <v>180</v>
      </c>
      <c r="Q697" s="266">
        <v>1000</v>
      </c>
      <c r="R697" s="278">
        <v>500000</v>
      </c>
      <c r="S697" s="266">
        <v>675000</v>
      </c>
      <c r="T697" s="602">
        <f>S697+R697</f>
        <v>1175000</v>
      </c>
      <c r="U697" s="266"/>
      <c r="V697" s="266"/>
      <c r="W697" s="266"/>
      <c r="X697" s="266"/>
      <c r="Y697" s="271">
        <v>0.35</v>
      </c>
      <c r="Z697" s="605">
        <f t="shared" si="113"/>
        <v>411250</v>
      </c>
      <c r="AA697" s="266"/>
      <c r="AB697" s="605">
        <f t="shared" si="118"/>
        <v>705000</v>
      </c>
      <c r="AC697" s="607">
        <f t="shared" si="116"/>
        <v>293750</v>
      </c>
      <c r="AD697" s="266"/>
    </row>
    <row r="698" spans="1:30" s="272" customFormat="1" ht="30" x14ac:dyDescent="0.25">
      <c r="A698" s="311">
        <v>695</v>
      </c>
      <c r="B698" s="373">
        <v>44037</v>
      </c>
      <c r="C698" s="630" t="s">
        <v>5133</v>
      </c>
      <c r="D698" s="358"/>
      <c r="E698" s="358"/>
      <c r="F698" s="631" t="s">
        <v>5138</v>
      </c>
      <c r="G698" s="269"/>
      <c r="H698" s="335"/>
      <c r="I698" s="358"/>
      <c r="J698" s="269"/>
      <c r="K698" s="269"/>
      <c r="L698" s="266"/>
      <c r="M698" s="278"/>
      <c r="N698" s="439"/>
      <c r="O698" s="631" t="s">
        <v>4918</v>
      </c>
      <c r="P698" s="631" t="s">
        <v>180</v>
      </c>
      <c r="Q698" s="507">
        <v>300</v>
      </c>
      <c r="R698" s="549">
        <v>500000</v>
      </c>
      <c r="S698" s="507">
        <v>300000</v>
      </c>
      <c r="T698" s="602">
        <f t="shared" ref="T698:T699" si="121">R698+S698</f>
        <v>800000</v>
      </c>
      <c r="U698" s="266"/>
      <c r="V698" s="266"/>
      <c r="W698" s="266"/>
      <c r="X698" s="266"/>
      <c r="Y698" s="271">
        <v>0.35</v>
      </c>
      <c r="Z698" s="605">
        <f t="shared" si="113"/>
        <v>280000</v>
      </c>
      <c r="AA698" s="266"/>
      <c r="AB698" s="605">
        <f t="shared" si="118"/>
        <v>480000</v>
      </c>
      <c r="AC698" s="607">
        <f t="shared" si="116"/>
        <v>200000</v>
      </c>
      <c r="AD698" s="266"/>
    </row>
    <row r="699" spans="1:30" s="272" customFormat="1" ht="30" x14ac:dyDescent="0.25">
      <c r="A699" s="113">
        <v>696</v>
      </c>
      <c r="B699" s="373">
        <v>44037</v>
      </c>
      <c r="C699" s="630" t="s">
        <v>5158</v>
      </c>
      <c r="D699" s="358"/>
      <c r="E699" s="358"/>
      <c r="F699" s="631" t="s">
        <v>5172</v>
      </c>
      <c r="G699" s="269"/>
      <c r="H699" s="335"/>
      <c r="I699" s="358"/>
      <c r="J699" s="269"/>
      <c r="K699" s="269"/>
      <c r="L699" s="266"/>
      <c r="M699" s="278"/>
      <c r="N699" s="439"/>
      <c r="O699" s="631" t="s">
        <v>4918</v>
      </c>
      <c r="P699" s="631" t="s">
        <v>180</v>
      </c>
      <c r="Q699" s="507">
        <v>300</v>
      </c>
      <c r="R699" s="549">
        <v>500000</v>
      </c>
      <c r="S699" s="507">
        <v>300000</v>
      </c>
      <c r="T699" s="602">
        <f t="shared" si="121"/>
        <v>800000</v>
      </c>
      <c r="U699" s="266"/>
      <c r="V699" s="266"/>
      <c r="W699" s="266"/>
      <c r="X699" s="266"/>
      <c r="Y699" s="271">
        <v>0.35</v>
      </c>
      <c r="Z699" s="605">
        <f t="shared" si="113"/>
        <v>280000</v>
      </c>
      <c r="AA699" s="266"/>
      <c r="AB699" s="605">
        <f t="shared" si="118"/>
        <v>480000</v>
      </c>
      <c r="AC699" s="607">
        <f t="shared" si="116"/>
        <v>200000</v>
      </c>
      <c r="AD699" s="266"/>
    </row>
    <row r="700" spans="1:30" s="272" customFormat="1" ht="47.25" x14ac:dyDescent="0.25">
      <c r="A700" s="74">
        <v>697</v>
      </c>
      <c r="B700" s="373">
        <v>44039</v>
      </c>
      <c r="C700" s="358" t="s">
        <v>5257</v>
      </c>
      <c r="D700" s="358" t="s">
        <v>5258</v>
      </c>
      <c r="E700" s="358" t="s">
        <v>3479</v>
      </c>
      <c r="F700" s="335" t="s">
        <v>587</v>
      </c>
      <c r="G700" s="269"/>
      <c r="H700" s="335"/>
      <c r="I700" s="358"/>
      <c r="J700" s="269" t="s">
        <v>5259</v>
      </c>
      <c r="K700" s="269"/>
      <c r="L700" s="266"/>
      <c r="M700" s="278"/>
      <c r="N700" s="439"/>
      <c r="O700" s="631" t="s">
        <v>4918</v>
      </c>
      <c r="P700" s="631" t="s">
        <v>180</v>
      </c>
      <c r="Q700" s="507">
        <v>300</v>
      </c>
      <c r="R700" s="549">
        <v>500000</v>
      </c>
      <c r="S700" s="507">
        <v>300000</v>
      </c>
      <c r="T700" s="602">
        <f t="shared" ref="T700" si="122">R700+S700</f>
        <v>800000</v>
      </c>
      <c r="U700" s="266"/>
      <c r="V700" s="266"/>
      <c r="W700" s="266"/>
      <c r="X700" s="266"/>
      <c r="Y700" s="271">
        <v>0.4</v>
      </c>
      <c r="Z700" s="605">
        <f t="shared" si="113"/>
        <v>320000</v>
      </c>
      <c r="AA700" s="266"/>
      <c r="AB700" s="605">
        <f t="shared" si="118"/>
        <v>480000</v>
      </c>
      <c r="AC700" s="607">
        <f t="shared" si="116"/>
        <v>160000</v>
      </c>
      <c r="AD700" s="266"/>
    </row>
    <row r="701" spans="1:30" ht="31.5" x14ac:dyDescent="0.25">
      <c r="A701" s="311">
        <v>698</v>
      </c>
      <c r="B701" s="22">
        <v>44040</v>
      </c>
      <c r="C701" s="148" t="s">
        <v>5260</v>
      </c>
      <c r="D701" s="148"/>
      <c r="E701" s="148" t="s">
        <v>3479</v>
      </c>
      <c r="F701" s="101" t="s">
        <v>5263</v>
      </c>
      <c r="G701" s="10"/>
      <c r="H701" s="101"/>
      <c r="I701" s="148"/>
      <c r="J701" s="10"/>
      <c r="K701" s="10"/>
      <c r="L701" s="19"/>
      <c r="M701" s="13"/>
      <c r="N701" s="249"/>
      <c r="O701" s="19" t="s">
        <v>4483</v>
      </c>
      <c r="P701" s="19"/>
      <c r="Q701" s="19"/>
      <c r="R701" s="13"/>
      <c r="S701" s="19"/>
      <c r="T701" s="19"/>
      <c r="U701" s="19"/>
      <c r="V701" s="19"/>
      <c r="W701" s="19"/>
      <c r="X701" s="19"/>
      <c r="Y701" s="19"/>
      <c r="Z701" s="605">
        <f t="shared" si="113"/>
        <v>0</v>
      </c>
      <c r="AA701" s="19"/>
      <c r="AB701" s="605">
        <f t="shared" si="118"/>
        <v>0</v>
      </c>
      <c r="AC701" s="607">
        <f t="shared" si="116"/>
        <v>0</v>
      </c>
      <c r="AD701" s="19"/>
    </row>
    <row r="702" spans="1:30" ht="47.25" x14ac:dyDescent="0.25">
      <c r="A702" s="113">
        <v>699</v>
      </c>
      <c r="B702" s="22">
        <v>44040</v>
      </c>
      <c r="C702" s="148" t="s">
        <v>5261</v>
      </c>
      <c r="D702" s="148" t="s">
        <v>309</v>
      </c>
      <c r="E702" s="148"/>
      <c r="F702" s="101" t="s">
        <v>5264</v>
      </c>
      <c r="G702" s="10"/>
      <c r="H702" s="101"/>
      <c r="I702" s="148"/>
      <c r="J702" s="10"/>
      <c r="K702" s="10"/>
      <c r="L702" s="19"/>
      <c r="M702" s="13"/>
      <c r="N702" s="249"/>
      <c r="O702" s="19" t="s">
        <v>4483</v>
      </c>
      <c r="P702" s="19"/>
      <c r="Q702" s="19"/>
      <c r="R702" s="13"/>
      <c r="S702" s="19"/>
      <c r="T702" s="19"/>
      <c r="U702" s="19"/>
      <c r="V702" s="19"/>
      <c r="W702" s="19"/>
      <c r="X702" s="19"/>
      <c r="Y702" s="19"/>
      <c r="Z702" s="605">
        <f t="shared" si="113"/>
        <v>0</v>
      </c>
      <c r="AA702" s="19"/>
      <c r="AB702" s="605">
        <f t="shared" si="118"/>
        <v>0</v>
      </c>
      <c r="AC702" s="607">
        <f t="shared" si="116"/>
        <v>0</v>
      </c>
      <c r="AD702" s="19"/>
    </row>
    <row r="703" spans="1:30" ht="31.5" x14ac:dyDescent="0.25">
      <c r="A703" s="74">
        <v>700</v>
      </c>
      <c r="B703" s="22">
        <v>44040</v>
      </c>
      <c r="C703" s="148" t="s">
        <v>5262</v>
      </c>
      <c r="D703" s="148" t="s">
        <v>3308</v>
      </c>
      <c r="E703" s="148" t="s">
        <v>3646</v>
      </c>
      <c r="F703" s="101" t="s">
        <v>5265</v>
      </c>
      <c r="G703" s="10"/>
      <c r="H703" s="101"/>
      <c r="I703" s="148"/>
      <c r="J703" s="10" t="s">
        <v>5274</v>
      </c>
      <c r="K703" s="10"/>
      <c r="L703" s="19"/>
      <c r="M703" s="13"/>
      <c r="N703" s="249"/>
      <c r="O703" s="19" t="s">
        <v>4483</v>
      </c>
      <c r="P703" s="19"/>
      <c r="Q703" s="19"/>
      <c r="R703" s="13"/>
      <c r="S703" s="19"/>
      <c r="T703" s="19"/>
      <c r="U703" s="19"/>
      <c r="V703" s="19"/>
      <c r="W703" s="19"/>
      <c r="X703" s="19"/>
      <c r="Y703" s="19"/>
      <c r="Z703" s="605">
        <f t="shared" si="113"/>
        <v>0</v>
      </c>
      <c r="AA703" s="19"/>
      <c r="AB703" s="605">
        <f t="shared" si="118"/>
        <v>0</v>
      </c>
      <c r="AC703" s="607">
        <f t="shared" si="116"/>
        <v>0</v>
      </c>
      <c r="AD703" s="19"/>
    </row>
    <row r="704" spans="1:30" ht="31.5" x14ac:dyDescent="0.25">
      <c r="A704" s="311">
        <v>701</v>
      </c>
      <c r="B704" s="22">
        <v>44042</v>
      </c>
      <c r="C704" s="148" t="s">
        <v>5266</v>
      </c>
      <c r="D704" s="148" t="s">
        <v>3308</v>
      </c>
      <c r="E704" s="148" t="s">
        <v>3646</v>
      </c>
      <c r="F704" s="101" t="s">
        <v>5270</v>
      </c>
      <c r="G704" s="10"/>
      <c r="H704" s="101"/>
      <c r="I704" s="148"/>
      <c r="J704" s="37" t="s">
        <v>5275</v>
      </c>
      <c r="K704" s="10"/>
      <c r="L704" s="19"/>
      <c r="M704" s="13"/>
      <c r="N704" s="249"/>
      <c r="O704" s="19" t="s">
        <v>4483</v>
      </c>
      <c r="P704" s="19"/>
      <c r="Q704" s="19"/>
      <c r="R704" s="13"/>
      <c r="S704" s="19"/>
      <c r="T704" s="19"/>
      <c r="U704" s="19"/>
      <c r="V704" s="19"/>
      <c r="W704" s="19"/>
      <c r="X704" s="19"/>
      <c r="Y704" s="19"/>
      <c r="Z704" s="605">
        <f t="shared" si="113"/>
        <v>0</v>
      </c>
      <c r="AA704" s="19"/>
      <c r="AB704" s="605">
        <f t="shared" si="118"/>
        <v>0</v>
      </c>
      <c r="AC704" s="607">
        <f t="shared" si="116"/>
        <v>0</v>
      </c>
      <c r="AD704" s="19"/>
    </row>
    <row r="705" spans="1:30" ht="31.5" x14ac:dyDescent="0.25">
      <c r="A705" s="113">
        <v>702</v>
      </c>
      <c r="B705" s="22">
        <v>44042</v>
      </c>
      <c r="C705" s="148" t="s">
        <v>5267</v>
      </c>
      <c r="D705" s="148" t="s">
        <v>3308</v>
      </c>
      <c r="E705" s="148" t="s">
        <v>3646</v>
      </c>
      <c r="F705" s="101" t="s">
        <v>5271</v>
      </c>
      <c r="G705" s="10"/>
      <c r="H705" s="101"/>
      <c r="I705" s="148"/>
      <c r="J705" s="10" t="s">
        <v>5276</v>
      </c>
      <c r="K705" s="10"/>
      <c r="L705" s="19"/>
      <c r="M705" s="13"/>
      <c r="N705" s="249"/>
      <c r="O705" s="19" t="s">
        <v>4483</v>
      </c>
      <c r="P705" s="19"/>
      <c r="Q705" s="19"/>
      <c r="R705" s="13"/>
      <c r="S705" s="19"/>
      <c r="T705" s="19"/>
      <c r="U705" s="19"/>
      <c r="V705" s="19"/>
      <c r="W705" s="19"/>
      <c r="X705" s="19"/>
      <c r="Y705" s="19"/>
      <c r="Z705" s="605">
        <f t="shared" si="113"/>
        <v>0</v>
      </c>
      <c r="AA705" s="19"/>
      <c r="AB705" s="605">
        <f t="shared" si="118"/>
        <v>0</v>
      </c>
      <c r="AC705" s="607">
        <f t="shared" si="116"/>
        <v>0</v>
      </c>
      <c r="AD705" s="19"/>
    </row>
    <row r="706" spans="1:30" ht="47.25" x14ac:dyDescent="0.25">
      <c r="A706" s="74">
        <v>703</v>
      </c>
      <c r="B706" s="22">
        <v>44042</v>
      </c>
      <c r="C706" s="148" t="s">
        <v>5268</v>
      </c>
      <c r="D706" s="148"/>
      <c r="E706" s="148" t="s">
        <v>2404</v>
      </c>
      <c r="F706" s="101" t="s">
        <v>5272</v>
      </c>
      <c r="G706" s="10"/>
      <c r="H706" s="101"/>
      <c r="I706" s="148"/>
      <c r="J706" s="10"/>
      <c r="K706" s="10"/>
      <c r="L706" s="19"/>
      <c r="M706" s="13"/>
      <c r="N706" s="249"/>
      <c r="O706" s="19" t="s">
        <v>4483</v>
      </c>
      <c r="P706" s="19"/>
      <c r="Q706" s="19"/>
      <c r="R706" s="13"/>
      <c r="S706" s="19"/>
      <c r="T706" s="19"/>
      <c r="U706" s="19"/>
      <c r="V706" s="19"/>
      <c r="W706" s="19"/>
      <c r="X706" s="19"/>
      <c r="Y706" s="19"/>
      <c r="Z706" s="605">
        <f t="shared" si="113"/>
        <v>0</v>
      </c>
      <c r="AA706" s="19"/>
      <c r="AB706" s="605">
        <f t="shared" si="118"/>
        <v>0</v>
      </c>
      <c r="AC706" s="607">
        <f t="shared" si="116"/>
        <v>0</v>
      </c>
      <c r="AD706" s="19"/>
    </row>
    <row r="707" spans="1:30" ht="47.25" x14ac:dyDescent="0.25">
      <c r="A707" s="311">
        <v>704</v>
      </c>
      <c r="B707" s="22">
        <v>44042</v>
      </c>
      <c r="C707" s="148" t="s">
        <v>5269</v>
      </c>
      <c r="D707" s="148" t="s">
        <v>502</v>
      </c>
      <c r="E707" s="148"/>
      <c r="F707" s="101" t="s">
        <v>5273</v>
      </c>
      <c r="G707" s="10"/>
      <c r="H707" s="101"/>
      <c r="I707" s="148"/>
      <c r="J707" s="10" t="s">
        <v>5277</v>
      </c>
      <c r="K707" s="10"/>
      <c r="L707" s="19"/>
      <c r="M707" s="13"/>
      <c r="N707" s="249"/>
      <c r="O707" s="19" t="s">
        <v>4483</v>
      </c>
      <c r="P707" s="19"/>
      <c r="Q707" s="19"/>
      <c r="R707" s="13"/>
      <c r="S707" s="19"/>
      <c r="T707" s="19"/>
      <c r="U707" s="19"/>
      <c r="V707" s="19"/>
      <c r="W707" s="19"/>
      <c r="X707" s="19"/>
      <c r="Y707" s="19"/>
      <c r="Z707" s="605">
        <f t="shared" si="113"/>
        <v>0</v>
      </c>
      <c r="AA707" s="19"/>
      <c r="AB707" s="605">
        <f t="shared" si="118"/>
        <v>0</v>
      </c>
      <c r="AC707" s="607">
        <f t="shared" si="116"/>
        <v>0</v>
      </c>
      <c r="AD707" s="19"/>
    </row>
    <row r="708" spans="1:30" ht="47.25" x14ac:dyDescent="0.25">
      <c r="A708" s="113">
        <v>705</v>
      </c>
      <c r="B708" s="22">
        <v>44042</v>
      </c>
      <c r="C708" s="148" t="s">
        <v>5269</v>
      </c>
      <c r="D708" s="148" t="s">
        <v>502</v>
      </c>
      <c r="E708" s="148" t="s">
        <v>3646</v>
      </c>
      <c r="F708" s="101" t="s">
        <v>5273</v>
      </c>
      <c r="G708" s="10"/>
      <c r="H708" s="101"/>
      <c r="I708" s="148"/>
      <c r="J708" s="10" t="s">
        <v>5277</v>
      </c>
      <c r="K708" s="10"/>
      <c r="L708" s="19"/>
      <c r="M708" s="13"/>
      <c r="N708" s="249"/>
      <c r="O708" s="19" t="s">
        <v>4918</v>
      </c>
      <c r="P708" s="19" t="s">
        <v>94</v>
      </c>
      <c r="Q708" s="356">
        <v>300</v>
      </c>
      <c r="R708" s="350"/>
      <c r="S708" s="356">
        <v>300000</v>
      </c>
      <c r="T708" s="247">
        <f t="shared" ref="T708:T718" si="123">R708+S708</f>
        <v>300000</v>
      </c>
      <c r="U708" s="19"/>
      <c r="V708" s="19"/>
      <c r="W708" s="19"/>
      <c r="X708" s="19"/>
      <c r="Y708" s="165">
        <v>0.35</v>
      </c>
      <c r="Z708" s="376">
        <f t="shared" si="113"/>
        <v>105000</v>
      </c>
      <c r="AA708" s="19"/>
      <c r="AB708" s="376">
        <f t="shared" si="118"/>
        <v>180000</v>
      </c>
      <c r="AC708" s="38">
        <f t="shared" si="116"/>
        <v>75000</v>
      </c>
      <c r="AD708" s="19" t="s">
        <v>783</v>
      </c>
    </row>
    <row r="709" spans="1:30" x14ac:dyDescent="0.25">
      <c r="A709" s="74">
        <v>706</v>
      </c>
      <c r="B709" s="22">
        <v>44042</v>
      </c>
      <c r="C709" s="148" t="s">
        <v>5578</v>
      </c>
      <c r="D709" s="148"/>
      <c r="E709" s="148" t="s">
        <v>3646</v>
      </c>
      <c r="F709" s="101" t="s">
        <v>5579</v>
      </c>
      <c r="G709" s="10"/>
      <c r="H709" s="101"/>
      <c r="I709" s="148"/>
      <c r="J709" s="10"/>
      <c r="K709" s="10"/>
      <c r="L709" s="19"/>
      <c r="M709" s="13"/>
      <c r="N709" s="249"/>
      <c r="O709" s="19" t="s">
        <v>4483</v>
      </c>
      <c r="P709" s="680"/>
      <c r="Q709" s="356"/>
      <c r="R709" s="350"/>
      <c r="S709" s="356"/>
      <c r="T709" s="247"/>
      <c r="U709" s="19"/>
      <c r="V709" s="19"/>
      <c r="W709" s="19"/>
      <c r="X709" s="19"/>
      <c r="Y709" s="165"/>
      <c r="Z709" s="376"/>
      <c r="AA709" s="19"/>
      <c r="AB709" s="376"/>
      <c r="AC709" s="38"/>
      <c r="AD709" s="19"/>
    </row>
    <row r="710" spans="1:30" s="481" customFormat="1" ht="47.25" x14ac:dyDescent="0.25">
      <c r="A710" s="311">
        <v>707</v>
      </c>
      <c r="B710" s="476">
        <v>44042</v>
      </c>
      <c r="C710" s="477" t="s">
        <v>5584</v>
      </c>
      <c r="D710" s="477"/>
      <c r="E710" s="477" t="s">
        <v>3646</v>
      </c>
      <c r="F710" s="478" t="s">
        <v>5585</v>
      </c>
      <c r="G710" s="274"/>
      <c r="H710" s="478"/>
      <c r="I710" s="477"/>
      <c r="J710" s="274" t="s">
        <v>5586</v>
      </c>
      <c r="K710" s="274"/>
      <c r="L710" s="274"/>
      <c r="M710" s="273"/>
      <c r="N710" s="479"/>
      <c r="O710" s="274" t="s">
        <v>4483</v>
      </c>
      <c r="P710" s="681"/>
      <c r="Q710" s="508"/>
      <c r="R710" s="415"/>
      <c r="S710" s="508"/>
      <c r="T710" s="280"/>
      <c r="U710" s="274"/>
      <c r="V710" s="274"/>
      <c r="W710" s="274"/>
      <c r="X710" s="274"/>
      <c r="Y710" s="480"/>
      <c r="Z710" s="605"/>
      <c r="AA710" s="274"/>
      <c r="AB710" s="605"/>
      <c r="AC710" s="605"/>
      <c r="AD710" s="274"/>
    </row>
    <row r="711" spans="1:30" s="272" customFormat="1" x14ac:dyDescent="0.25">
      <c r="A711" s="113">
        <v>708</v>
      </c>
      <c r="B711" s="373">
        <v>44042</v>
      </c>
      <c r="C711" s="358" t="s">
        <v>5589</v>
      </c>
      <c r="D711" s="358"/>
      <c r="E711" s="358" t="s">
        <v>3646</v>
      </c>
      <c r="F711" s="335" t="s">
        <v>5587</v>
      </c>
      <c r="G711" s="269"/>
      <c r="H711" s="335"/>
      <c r="I711" s="358"/>
      <c r="J711" s="269" t="s">
        <v>5588</v>
      </c>
      <c r="K711" s="269"/>
      <c r="L711" s="266"/>
      <c r="M711" s="278"/>
      <c r="N711" s="439"/>
      <c r="O711" s="631" t="s">
        <v>4918</v>
      </c>
      <c r="P711" s="631" t="s">
        <v>180</v>
      </c>
      <c r="Q711" s="507">
        <v>300</v>
      </c>
      <c r="R711" s="549">
        <v>500000</v>
      </c>
      <c r="S711" s="507">
        <v>300000</v>
      </c>
      <c r="T711" s="602">
        <f t="shared" ref="T711" si="124">R711+S711</f>
        <v>800000</v>
      </c>
      <c r="U711" s="266"/>
      <c r="V711" s="266"/>
      <c r="W711" s="266"/>
      <c r="X711" s="266"/>
      <c r="Y711" s="271">
        <v>0.4</v>
      </c>
      <c r="Z711" s="605"/>
      <c r="AA711" s="266"/>
      <c r="AB711" s="605"/>
      <c r="AC711" s="607"/>
      <c r="AD711" s="266"/>
    </row>
    <row r="712" spans="1:30" s="272" customFormat="1" ht="31.5" x14ac:dyDescent="0.25">
      <c r="A712" s="74">
        <v>709</v>
      </c>
      <c r="B712" s="373">
        <v>44042</v>
      </c>
      <c r="C712" s="358" t="s">
        <v>5592</v>
      </c>
      <c r="D712" s="358" t="s">
        <v>5591</v>
      </c>
      <c r="E712" s="358" t="s">
        <v>3646</v>
      </c>
      <c r="F712" s="335" t="s">
        <v>5590</v>
      </c>
      <c r="G712" s="269"/>
      <c r="H712" s="335"/>
      <c r="I712" s="358"/>
      <c r="J712" s="269" t="s">
        <v>5593</v>
      </c>
      <c r="K712" s="269" t="s">
        <v>5593</v>
      </c>
      <c r="L712" s="266"/>
      <c r="M712" s="278"/>
      <c r="N712" s="439"/>
      <c r="O712" s="631" t="s">
        <v>5594</v>
      </c>
      <c r="P712" s="318" t="s">
        <v>153</v>
      </c>
      <c r="Q712" s="266">
        <v>500</v>
      </c>
      <c r="R712" s="278">
        <v>500000</v>
      </c>
      <c r="S712" s="589">
        <v>425000</v>
      </c>
      <c r="T712" s="270">
        <v>925000</v>
      </c>
      <c r="U712" s="271">
        <v>0.3</v>
      </c>
      <c r="V712" s="266"/>
      <c r="W712" s="266"/>
      <c r="X712" s="266"/>
      <c r="Y712" s="271"/>
      <c r="Z712" s="605"/>
      <c r="AA712" s="266"/>
      <c r="AB712" s="605"/>
      <c r="AC712" s="607"/>
      <c r="AD712" s="266"/>
    </row>
    <row r="713" spans="1:30" ht="31.5" x14ac:dyDescent="0.25">
      <c r="A713" s="311">
        <v>710</v>
      </c>
      <c r="B713" s="22">
        <v>44042</v>
      </c>
      <c r="C713" s="148" t="s">
        <v>5596</v>
      </c>
      <c r="D713" s="148"/>
      <c r="E713" s="148" t="s">
        <v>309</v>
      </c>
      <c r="F713" s="101" t="s">
        <v>5595</v>
      </c>
      <c r="G713" s="10"/>
      <c r="H713" s="101"/>
      <c r="I713" s="148"/>
      <c r="J713" s="10"/>
      <c r="K713" s="10"/>
      <c r="L713" s="19"/>
      <c r="M713" s="13"/>
      <c r="N713" s="249"/>
      <c r="O713" s="631" t="s">
        <v>4918</v>
      </c>
      <c r="P713" s="631" t="s">
        <v>180</v>
      </c>
      <c r="Q713" s="507">
        <v>300</v>
      </c>
      <c r="R713" s="549">
        <v>500000</v>
      </c>
      <c r="S713" s="507">
        <v>300000</v>
      </c>
      <c r="T713" s="602">
        <f t="shared" ref="T713" si="125">R713+S713</f>
        <v>800000</v>
      </c>
      <c r="U713" s="266"/>
      <c r="V713" s="266"/>
      <c r="W713" s="266"/>
      <c r="X713" s="266"/>
      <c r="Y713" s="271">
        <v>0.4</v>
      </c>
      <c r="Z713" s="376"/>
      <c r="AA713" s="19"/>
      <c r="AB713" s="376"/>
      <c r="AC713" s="38"/>
      <c r="AD713" s="19"/>
    </row>
    <row r="714" spans="1:30" ht="31.5" x14ac:dyDescent="0.25">
      <c r="A714" s="113">
        <v>711</v>
      </c>
      <c r="B714" s="22">
        <v>44042</v>
      </c>
      <c r="C714" s="148" t="s">
        <v>5597</v>
      </c>
      <c r="D714" s="148"/>
      <c r="E714" s="148" t="s">
        <v>3646</v>
      </c>
      <c r="F714" s="101" t="s">
        <v>5598</v>
      </c>
      <c r="G714" s="10"/>
      <c r="H714" s="101"/>
      <c r="I714" s="148"/>
      <c r="J714" s="10" t="s">
        <v>5601</v>
      </c>
      <c r="K714" s="10"/>
      <c r="L714" s="19"/>
      <c r="M714" s="13"/>
      <c r="N714" s="249"/>
      <c r="O714" s="631" t="s">
        <v>4918</v>
      </c>
      <c r="P714" s="631" t="s">
        <v>180</v>
      </c>
      <c r="Q714" s="507">
        <v>300</v>
      </c>
      <c r="R714" s="549">
        <v>500000</v>
      </c>
      <c r="S714" s="507">
        <v>300000</v>
      </c>
      <c r="T714" s="602">
        <f t="shared" ref="T714" si="126">R714+S714</f>
        <v>800000</v>
      </c>
      <c r="U714" s="266"/>
      <c r="V714" s="266"/>
      <c r="W714" s="266"/>
      <c r="X714" s="266"/>
      <c r="Y714" s="271">
        <v>0.4</v>
      </c>
      <c r="Z714" s="376"/>
      <c r="AA714" s="19"/>
      <c r="AB714" s="376"/>
      <c r="AC714" s="38"/>
      <c r="AD714" s="19"/>
    </row>
    <row r="715" spans="1:30" ht="31.5" x14ac:dyDescent="0.25">
      <c r="A715" s="74">
        <v>712</v>
      </c>
      <c r="B715" s="22">
        <v>44042</v>
      </c>
      <c r="C715" s="148" t="s">
        <v>5600</v>
      </c>
      <c r="D715" s="148"/>
      <c r="E715" s="148" t="s">
        <v>309</v>
      </c>
      <c r="F715" s="101" t="s">
        <v>5599</v>
      </c>
      <c r="G715" s="10"/>
      <c r="H715" s="101"/>
      <c r="I715" s="148"/>
      <c r="J715" s="10"/>
      <c r="K715" s="10"/>
      <c r="L715" s="19"/>
      <c r="M715" s="13"/>
      <c r="N715" s="249"/>
      <c r="O715" s="631" t="s">
        <v>4918</v>
      </c>
      <c r="P715" s="631" t="s">
        <v>180</v>
      </c>
      <c r="Q715" s="507">
        <v>300</v>
      </c>
      <c r="R715" s="549">
        <v>500000</v>
      </c>
      <c r="S715" s="507">
        <v>300000</v>
      </c>
      <c r="T715" s="602">
        <f t="shared" ref="T715" si="127">R715+S715</f>
        <v>800000</v>
      </c>
      <c r="U715" s="266"/>
      <c r="V715" s="266"/>
      <c r="W715" s="266"/>
      <c r="X715" s="266"/>
      <c r="Y715" s="271">
        <v>0.4</v>
      </c>
      <c r="Z715" s="376"/>
      <c r="AA715" s="19"/>
      <c r="AB715" s="376"/>
      <c r="AC715" s="38"/>
      <c r="AD715" s="19"/>
    </row>
    <row r="716" spans="1:30" s="272" customFormat="1" ht="47.25" x14ac:dyDescent="0.25">
      <c r="A716" s="311">
        <v>713</v>
      </c>
      <c r="B716" s="373">
        <v>44042</v>
      </c>
      <c r="C716" s="358" t="s">
        <v>5583</v>
      </c>
      <c r="D716" s="358"/>
      <c r="E716" s="358" t="s">
        <v>3479</v>
      </c>
      <c r="F716" s="335" t="s">
        <v>5582</v>
      </c>
      <c r="G716" s="269"/>
      <c r="H716" s="335"/>
      <c r="I716" s="358"/>
      <c r="J716" s="269"/>
      <c r="K716" s="269"/>
      <c r="L716" s="266"/>
      <c r="M716" s="278"/>
      <c r="N716" s="439"/>
      <c r="O716" s="631" t="s">
        <v>4918</v>
      </c>
      <c r="P716" s="631" t="s">
        <v>180</v>
      </c>
      <c r="Q716" s="507">
        <v>300</v>
      </c>
      <c r="R716" s="549">
        <v>500000</v>
      </c>
      <c r="S716" s="507">
        <v>300000</v>
      </c>
      <c r="T716" s="602">
        <f t="shared" ref="T716" si="128">R716+S716</f>
        <v>800000</v>
      </c>
      <c r="U716" s="266"/>
      <c r="V716" s="266"/>
      <c r="W716" s="266"/>
      <c r="X716" s="266"/>
      <c r="Y716" s="271">
        <v>0.4</v>
      </c>
      <c r="Z716" s="605"/>
      <c r="AA716" s="266"/>
      <c r="AB716" s="605"/>
      <c r="AC716" s="607"/>
      <c r="AD716" s="266"/>
    </row>
    <row r="717" spans="1:30" ht="47.25" x14ac:dyDescent="0.25">
      <c r="A717" s="113">
        <v>714</v>
      </c>
      <c r="B717" s="22">
        <v>44042</v>
      </c>
      <c r="C717" s="148" t="s">
        <v>5581</v>
      </c>
      <c r="D717" s="148" t="s">
        <v>3024</v>
      </c>
      <c r="E717" s="148" t="s">
        <v>3646</v>
      </c>
      <c r="F717" s="101" t="s">
        <v>5580</v>
      </c>
      <c r="G717" s="269"/>
      <c r="H717" s="101"/>
      <c r="I717" s="148"/>
      <c r="J717" s="10" t="s">
        <v>450</v>
      </c>
      <c r="K717" s="10"/>
      <c r="L717" s="19"/>
      <c r="M717" s="278"/>
      <c r="N717" s="249"/>
      <c r="O717" s="633" t="s">
        <v>4918</v>
      </c>
      <c r="P717" s="633" t="s">
        <v>180</v>
      </c>
      <c r="Q717" s="356">
        <v>300</v>
      </c>
      <c r="R717" s="350">
        <v>500000</v>
      </c>
      <c r="S717" s="356">
        <v>300000</v>
      </c>
      <c r="T717" s="247">
        <f t="shared" ref="T717" si="129">R717+S717</f>
        <v>800000</v>
      </c>
      <c r="U717" s="266"/>
      <c r="V717" s="266"/>
      <c r="W717" s="266"/>
      <c r="X717" s="266"/>
      <c r="Y717" s="165">
        <v>0.4</v>
      </c>
      <c r="Z717" s="376"/>
      <c r="AA717" s="19"/>
      <c r="AB717" s="376"/>
      <c r="AC717" s="38"/>
      <c r="AD717" s="220" t="s">
        <v>6598</v>
      </c>
    </row>
    <row r="718" spans="1:30" s="272" customFormat="1" ht="63" x14ac:dyDescent="0.25">
      <c r="A718" s="74">
        <v>715</v>
      </c>
      <c r="B718" s="373">
        <v>44042</v>
      </c>
      <c r="C718" s="358" t="s">
        <v>5278</v>
      </c>
      <c r="D718" s="358" t="s">
        <v>3308</v>
      </c>
      <c r="E718" s="358" t="s">
        <v>3646</v>
      </c>
      <c r="F718" s="335" t="s">
        <v>5279</v>
      </c>
      <c r="G718" s="269"/>
      <c r="H718" s="335" t="s">
        <v>448</v>
      </c>
      <c r="I718" s="358" t="s">
        <v>5280</v>
      </c>
      <c r="J718" s="269" t="s">
        <v>5282</v>
      </c>
      <c r="K718" s="380" t="s">
        <v>5281</v>
      </c>
      <c r="L718" s="266"/>
      <c r="M718" s="278"/>
      <c r="N718" s="439"/>
      <c r="O718" s="631" t="s">
        <v>4918</v>
      </c>
      <c r="P718" s="631" t="s">
        <v>180</v>
      </c>
      <c r="Q718" s="507">
        <v>300</v>
      </c>
      <c r="R718" s="549">
        <v>500000</v>
      </c>
      <c r="S718" s="507">
        <v>300000</v>
      </c>
      <c r="T718" s="602">
        <f t="shared" si="123"/>
        <v>800000</v>
      </c>
      <c r="U718" s="266"/>
      <c r="V718" s="266"/>
      <c r="W718" s="266"/>
      <c r="X718" s="266"/>
      <c r="Y718" s="271">
        <v>0.4</v>
      </c>
      <c r="Z718" s="605">
        <f t="shared" si="113"/>
        <v>320000</v>
      </c>
      <c r="AA718" s="266"/>
      <c r="AB718" s="605">
        <f t="shared" si="118"/>
        <v>480000</v>
      </c>
      <c r="AC718" s="607">
        <f t="shared" si="116"/>
        <v>160000</v>
      </c>
      <c r="AD718" s="266"/>
    </row>
    <row r="719" spans="1:30" s="272" customFormat="1" ht="63" x14ac:dyDescent="0.25">
      <c r="A719" s="311">
        <v>716</v>
      </c>
      <c r="B719" s="373">
        <v>44042</v>
      </c>
      <c r="C719" s="358" t="s">
        <v>5283</v>
      </c>
      <c r="D719" s="358" t="s">
        <v>502</v>
      </c>
      <c r="E719" s="358" t="s">
        <v>3646</v>
      </c>
      <c r="F719" s="335" t="s">
        <v>5284</v>
      </c>
      <c r="G719" s="269"/>
      <c r="H719" s="335" t="s">
        <v>353</v>
      </c>
      <c r="I719" s="358" t="s">
        <v>5285</v>
      </c>
      <c r="J719" s="498" t="s">
        <v>5286</v>
      </c>
      <c r="K719" s="380" t="s">
        <v>5287</v>
      </c>
      <c r="L719" s="266"/>
      <c r="M719" s="278"/>
      <c r="N719" s="439"/>
      <c r="O719" s="631" t="s">
        <v>4918</v>
      </c>
      <c r="P719" s="631" t="s">
        <v>180</v>
      </c>
      <c r="Q719" s="507">
        <v>300</v>
      </c>
      <c r="R719" s="549">
        <v>500000</v>
      </c>
      <c r="S719" s="507">
        <v>300000</v>
      </c>
      <c r="T719" s="602">
        <f t="shared" ref="T719" si="130">R719+S719</f>
        <v>800000</v>
      </c>
      <c r="U719" s="266"/>
      <c r="V719" s="266"/>
      <c r="W719" s="266"/>
      <c r="X719" s="266"/>
      <c r="Y719" s="266"/>
      <c r="Z719" s="605">
        <f t="shared" si="113"/>
        <v>0</v>
      </c>
      <c r="AA719" s="266"/>
      <c r="AB719" s="605">
        <f t="shared" si="118"/>
        <v>480000</v>
      </c>
      <c r="AC719" s="607">
        <f t="shared" si="116"/>
        <v>480000</v>
      </c>
      <c r="AD719" s="266"/>
    </row>
    <row r="720" spans="1:30" s="272" customFormat="1" ht="47.25" x14ac:dyDescent="0.25">
      <c r="A720" s="113">
        <v>717</v>
      </c>
      <c r="B720" s="373">
        <v>44042</v>
      </c>
      <c r="C720" s="358" t="s">
        <v>5288</v>
      </c>
      <c r="D720" s="358"/>
      <c r="E720" s="358" t="s">
        <v>309</v>
      </c>
      <c r="F720" s="335" t="s">
        <v>5289</v>
      </c>
      <c r="G720" s="269"/>
      <c r="H720" s="335" t="s">
        <v>345</v>
      </c>
      <c r="I720" s="358" t="s">
        <v>5290</v>
      </c>
      <c r="J720" s="269"/>
      <c r="K720" s="269"/>
      <c r="L720" s="266"/>
      <c r="M720" s="278"/>
      <c r="N720" s="439"/>
      <c r="O720" s="631" t="s">
        <v>4918</v>
      </c>
      <c r="P720" s="631" t="s">
        <v>180</v>
      </c>
      <c r="Q720" s="507">
        <v>300</v>
      </c>
      <c r="R720" s="549">
        <v>500000</v>
      </c>
      <c r="S720" s="507">
        <v>300000</v>
      </c>
      <c r="T720" s="602">
        <f t="shared" ref="T720" si="131">R720+S720</f>
        <v>800000</v>
      </c>
      <c r="U720" s="266"/>
      <c r="V720" s="266"/>
      <c r="W720" s="266"/>
      <c r="X720" s="266"/>
      <c r="Y720" s="271">
        <v>0.35</v>
      </c>
      <c r="Z720" s="605">
        <f t="shared" si="113"/>
        <v>280000</v>
      </c>
      <c r="AA720" s="266"/>
      <c r="AB720" s="605">
        <f t="shared" si="118"/>
        <v>480000</v>
      </c>
      <c r="AC720" s="607">
        <f t="shared" si="116"/>
        <v>200000</v>
      </c>
      <c r="AD720" s="266"/>
    </row>
    <row r="721" spans="1:30" s="7" customFormat="1" ht="63" x14ac:dyDescent="0.25">
      <c r="A721" s="74">
        <v>718</v>
      </c>
      <c r="B721" s="122">
        <v>44043</v>
      </c>
      <c r="C721" s="157" t="s">
        <v>5291</v>
      </c>
      <c r="D721" s="157"/>
      <c r="E721" s="157" t="s">
        <v>309</v>
      </c>
      <c r="F721" s="29" t="s">
        <v>5293</v>
      </c>
      <c r="G721" s="10"/>
      <c r="H721" s="29" t="s">
        <v>168</v>
      </c>
      <c r="I721" s="157" t="s">
        <v>5292</v>
      </c>
      <c r="J721" s="10"/>
      <c r="K721" s="10"/>
      <c r="L721" s="10"/>
      <c r="M721" s="11"/>
      <c r="N721" s="249"/>
      <c r="O721" s="10" t="s">
        <v>4483</v>
      </c>
      <c r="P721" s="10"/>
      <c r="Q721" s="10"/>
      <c r="R721" s="11"/>
      <c r="S721" s="10"/>
      <c r="T721" s="10"/>
      <c r="U721" s="10"/>
      <c r="V721" s="10"/>
      <c r="W721" s="10"/>
      <c r="X721" s="10"/>
      <c r="Y721" s="10"/>
      <c r="Z721" s="605">
        <f t="shared" si="113"/>
        <v>0</v>
      </c>
      <c r="AA721" s="10"/>
      <c r="AB721" s="607">
        <f t="shared" si="118"/>
        <v>0</v>
      </c>
      <c r="AC721" s="607">
        <f t="shared" si="116"/>
        <v>0</v>
      </c>
      <c r="AD721" s="10"/>
    </row>
    <row r="722" spans="1:30" s="217" customFormat="1" ht="47.25" x14ac:dyDescent="0.25">
      <c r="A722" s="700">
        <v>719</v>
      </c>
      <c r="B722" s="239">
        <v>44046</v>
      </c>
      <c r="C722" s="242" t="s">
        <v>5328</v>
      </c>
      <c r="D722" s="242" t="s">
        <v>3024</v>
      </c>
      <c r="E722" s="242" t="s">
        <v>3646</v>
      </c>
      <c r="F722" s="244" t="s">
        <v>5330</v>
      </c>
      <c r="G722" s="274"/>
      <c r="H722" s="244" t="s">
        <v>2043</v>
      </c>
      <c r="I722" s="242" t="s">
        <v>5329</v>
      </c>
      <c r="J722" s="220"/>
      <c r="K722" s="220"/>
      <c r="L722" s="220"/>
      <c r="M722" s="273"/>
      <c r="N722" s="399"/>
      <c r="O722" s="693" t="s">
        <v>4918</v>
      </c>
      <c r="P722" s="693" t="s">
        <v>180</v>
      </c>
      <c r="Q722" s="365">
        <v>300</v>
      </c>
      <c r="R722" s="364">
        <v>500000</v>
      </c>
      <c r="S722" s="365">
        <v>300000</v>
      </c>
      <c r="T722" s="219">
        <f t="shared" ref="T722" si="132">R722+S722</f>
        <v>800000</v>
      </c>
      <c r="U722" s="274"/>
      <c r="V722" s="274"/>
      <c r="W722" s="274"/>
      <c r="X722" s="274"/>
      <c r="Y722" s="243">
        <v>0.4</v>
      </c>
      <c r="Z722" s="376">
        <f t="shared" si="113"/>
        <v>320000</v>
      </c>
      <c r="AA722" s="220"/>
      <c r="AB722" s="376">
        <f t="shared" si="118"/>
        <v>480000</v>
      </c>
      <c r="AC722" s="376">
        <f t="shared" si="116"/>
        <v>160000</v>
      </c>
      <c r="AD722" s="220" t="s">
        <v>6598</v>
      </c>
    </row>
    <row r="723" spans="1:30" s="272" customFormat="1" ht="63" x14ac:dyDescent="0.25">
      <c r="A723" s="113">
        <v>720</v>
      </c>
      <c r="B723" s="373">
        <v>44046</v>
      </c>
      <c r="C723" s="358" t="s">
        <v>5333</v>
      </c>
      <c r="D723" s="358" t="s">
        <v>502</v>
      </c>
      <c r="E723" s="358" t="s">
        <v>3646</v>
      </c>
      <c r="F723" s="335" t="s">
        <v>5331</v>
      </c>
      <c r="G723" s="269"/>
      <c r="H723" s="335" t="s">
        <v>448</v>
      </c>
      <c r="I723" s="358" t="s">
        <v>5334</v>
      </c>
      <c r="J723" s="269" t="s">
        <v>5332</v>
      </c>
      <c r="K723" s="269"/>
      <c r="L723" s="266"/>
      <c r="M723" s="278"/>
      <c r="N723" s="439"/>
      <c r="O723" s="649" t="s">
        <v>4918</v>
      </c>
      <c r="P723" s="649" t="s">
        <v>180</v>
      </c>
      <c r="Q723" s="508">
        <v>300</v>
      </c>
      <c r="R723" s="415">
        <v>500000</v>
      </c>
      <c r="S723" s="508">
        <v>300000</v>
      </c>
      <c r="T723" s="280">
        <f t="shared" ref="T723:T724" si="133">R723+S723</f>
        <v>800000</v>
      </c>
      <c r="U723" s="274"/>
      <c r="V723" s="274"/>
      <c r="W723" s="274"/>
      <c r="X723" s="274"/>
      <c r="Y723" s="480">
        <v>0.3</v>
      </c>
      <c r="Z723" s="605">
        <f t="shared" si="113"/>
        <v>240000</v>
      </c>
      <c r="AA723" s="266"/>
      <c r="AB723" s="605">
        <f t="shared" si="118"/>
        <v>480000</v>
      </c>
      <c r="AC723" s="607">
        <f t="shared" si="116"/>
        <v>240000</v>
      </c>
      <c r="AD723" s="266"/>
    </row>
    <row r="724" spans="1:30" s="272" customFormat="1" ht="63" x14ac:dyDescent="0.25">
      <c r="A724" s="74">
        <v>721</v>
      </c>
      <c r="B724" s="373">
        <v>44046</v>
      </c>
      <c r="C724" s="358" t="s">
        <v>5335</v>
      </c>
      <c r="D724" s="358" t="s">
        <v>3622</v>
      </c>
      <c r="E724" s="358" t="s">
        <v>3646</v>
      </c>
      <c r="F724" s="335" t="s">
        <v>5336</v>
      </c>
      <c r="G724" s="269"/>
      <c r="H724" s="335" t="s">
        <v>353</v>
      </c>
      <c r="I724" s="358" t="s">
        <v>5337</v>
      </c>
      <c r="J724" s="269" t="s">
        <v>3622</v>
      </c>
      <c r="K724" s="269"/>
      <c r="L724" s="266"/>
      <c r="M724" s="278"/>
      <c r="N724" s="439"/>
      <c r="O724" s="266" t="s">
        <v>4932</v>
      </c>
      <c r="P724" s="266" t="s">
        <v>180</v>
      </c>
      <c r="Q724" s="266">
        <v>500</v>
      </c>
      <c r="R724" s="278">
        <v>500000</v>
      </c>
      <c r="S724" s="266">
        <v>425000</v>
      </c>
      <c r="T724" s="266">
        <f t="shared" si="133"/>
        <v>925000</v>
      </c>
      <c r="U724" s="266"/>
      <c r="V724" s="266"/>
      <c r="W724" s="266"/>
      <c r="X724" s="266"/>
      <c r="Y724" s="271">
        <v>0.4</v>
      </c>
      <c r="Z724" s="605">
        <f t="shared" si="113"/>
        <v>370000</v>
      </c>
      <c r="AA724" s="266"/>
      <c r="AB724" s="605">
        <f t="shared" si="118"/>
        <v>555000</v>
      </c>
      <c r="AC724" s="607">
        <f t="shared" si="116"/>
        <v>185000</v>
      </c>
      <c r="AD724" s="266"/>
    </row>
    <row r="725" spans="1:30" s="272" customFormat="1" ht="78.75" x14ac:dyDescent="0.25">
      <c r="A725" s="311">
        <v>722</v>
      </c>
      <c r="B725" s="373">
        <v>44046</v>
      </c>
      <c r="C725" s="358" t="s">
        <v>5338</v>
      </c>
      <c r="D725" s="358" t="s">
        <v>2163</v>
      </c>
      <c r="E725" s="358" t="s">
        <v>4753</v>
      </c>
      <c r="F725" s="335" t="s">
        <v>5339</v>
      </c>
      <c r="G725" s="269"/>
      <c r="H725" s="335" t="s">
        <v>345</v>
      </c>
      <c r="I725" s="358" t="s">
        <v>5340</v>
      </c>
      <c r="J725" s="269" t="s">
        <v>3479</v>
      </c>
      <c r="K725" s="269"/>
      <c r="L725" s="266"/>
      <c r="M725" s="278"/>
      <c r="N725" s="439"/>
      <c r="O725" s="649" t="s">
        <v>4918</v>
      </c>
      <c r="P725" s="649" t="s">
        <v>180</v>
      </c>
      <c r="Q725" s="508">
        <v>300</v>
      </c>
      <c r="R725" s="415">
        <v>500000</v>
      </c>
      <c r="S725" s="508">
        <v>300000</v>
      </c>
      <c r="T725" s="280">
        <f t="shared" ref="T725" si="134">R725+S725</f>
        <v>800000</v>
      </c>
      <c r="U725" s="274"/>
      <c r="V725" s="274"/>
      <c r="W725" s="274"/>
      <c r="X725" s="274"/>
      <c r="Y725" s="480">
        <v>0.4</v>
      </c>
      <c r="Z725" s="605">
        <f t="shared" si="113"/>
        <v>320000</v>
      </c>
      <c r="AA725" s="266"/>
      <c r="AB725" s="605">
        <f t="shared" si="118"/>
        <v>480000</v>
      </c>
      <c r="AC725" s="607">
        <f t="shared" si="116"/>
        <v>160000</v>
      </c>
      <c r="AD725" s="266"/>
    </row>
    <row r="726" spans="1:30" s="272" customFormat="1" ht="63" x14ac:dyDescent="0.25">
      <c r="A726" s="113">
        <v>723</v>
      </c>
      <c r="B726" s="373">
        <v>44046</v>
      </c>
      <c r="C726" s="358" t="s">
        <v>5341</v>
      </c>
      <c r="D726" s="358" t="s">
        <v>5342</v>
      </c>
      <c r="E726" s="358" t="s">
        <v>3646</v>
      </c>
      <c r="F726" s="335" t="s">
        <v>5344</v>
      </c>
      <c r="G726" s="269"/>
      <c r="H726" s="335" t="s">
        <v>1772</v>
      </c>
      <c r="I726" s="358" t="s">
        <v>5345</v>
      </c>
      <c r="J726" s="269" t="s">
        <v>5343</v>
      </c>
      <c r="K726" s="269"/>
      <c r="L726" s="266"/>
      <c r="M726" s="278"/>
      <c r="N726" s="439"/>
      <c r="O726" s="631" t="s">
        <v>4933</v>
      </c>
      <c r="P726" s="631" t="s">
        <v>180</v>
      </c>
      <c r="Q726" s="266">
        <v>1000</v>
      </c>
      <c r="R726" s="278">
        <v>500000</v>
      </c>
      <c r="S726" s="266">
        <v>675000</v>
      </c>
      <c r="T726" s="602">
        <f>S726+R726</f>
        <v>1175000</v>
      </c>
      <c r="U726" s="266"/>
      <c r="V726" s="266"/>
      <c r="W726" s="266"/>
      <c r="X726" s="266"/>
      <c r="Y726" s="480">
        <v>0.4</v>
      </c>
      <c r="Z726" s="605">
        <f t="shared" si="113"/>
        <v>470000</v>
      </c>
      <c r="AA726" s="266"/>
      <c r="AB726" s="605">
        <f t="shared" si="118"/>
        <v>705000</v>
      </c>
      <c r="AC726" s="607">
        <f t="shared" si="116"/>
        <v>235000</v>
      </c>
      <c r="AD726" s="266"/>
    </row>
    <row r="727" spans="1:30" s="272" customFormat="1" ht="47.25" x14ac:dyDescent="0.25">
      <c r="A727" s="74">
        <v>724</v>
      </c>
      <c r="B727" s="373">
        <v>44048</v>
      </c>
      <c r="C727" s="358" t="s">
        <v>5346</v>
      </c>
      <c r="D727" s="358"/>
      <c r="E727" s="358" t="s">
        <v>3479</v>
      </c>
      <c r="F727" s="335" t="s">
        <v>5312</v>
      </c>
      <c r="G727" s="269"/>
      <c r="H727" s="335" t="s">
        <v>5348</v>
      </c>
      <c r="I727" s="358" t="s">
        <v>5313</v>
      </c>
      <c r="J727" s="269" t="s">
        <v>5347</v>
      </c>
      <c r="K727" s="269"/>
      <c r="L727" s="266"/>
      <c r="M727" s="278"/>
      <c r="N727" s="439"/>
      <c r="O727" s="649" t="s">
        <v>4918</v>
      </c>
      <c r="P727" s="649" t="s">
        <v>180</v>
      </c>
      <c r="Q727" s="508">
        <v>300</v>
      </c>
      <c r="R727" s="415">
        <v>500000</v>
      </c>
      <c r="S727" s="508">
        <v>300000</v>
      </c>
      <c r="T727" s="280">
        <f t="shared" ref="T727" si="135">R727+S727</f>
        <v>800000</v>
      </c>
      <c r="U727" s="274"/>
      <c r="V727" s="274"/>
      <c r="W727" s="274"/>
      <c r="X727" s="274"/>
      <c r="Y727" s="480">
        <v>0.4</v>
      </c>
      <c r="Z727" s="605">
        <f t="shared" si="113"/>
        <v>320000</v>
      </c>
      <c r="AA727" s="266"/>
      <c r="AB727" s="605">
        <f t="shared" si="118"/>
        <v>480000</v>
      </c>
      <c r="AC727" s="607">
        <f t="shared" si="116"/>
        <v>160000</v>
      </c>
      <c r="AD727" s="266"/>
    </row>
    <row r="728" spans="1:30" s="272" customFormat="1" ht="47.25" x14ac:dyDescent="0.25">
      <c r="A728" s="311">
        <v>725</v>
      </c>
      <c r="B728" s="373">
        <v>44048</v>
      </c>
      <c r="C728" s="358" t="s">
        <v>5349</v>
      </c>
      <c r="D728" s="358"/>
      <c r="E728" s="358" t="s">
        <v>309</v>
      </c>
      <c r="F728" s="335" t="s">
        <v>5350</v>
      </c>
      <c r="G728" s="269"/>
      <c r="H728" s="335" t="s">
        <v>5352</v>
      </c>
      <c r="I728" s="358" t="s">
        <v>5351</v>
      </c>
      <c r="J728" s="269"/>
      <c r="K728" s="269"/>
      <c r="L728" s="266"/>
      <c r="M728" s="278"/>
      <c r="N728" s="439"/>
      <c r="O728" s="649" t="s">
        <v>4918</v>
      </c>
      <c r="P728" s="649" t="s">
        <v>180</v>
      </c>
      <c r="Q728" s="508">
        <v>300</v>
      </c>
      <c r="R728" s="415">
        <v>500000</v>
      </c>
      <c r="S728" s="508">
        <v>300000</v>
      </c>
      <c r="T728" s="280">
        <f t="shared" ref="T728" si="136">R728+S728</f>
        <v>800000</v>
      </c>
      <c r="U728" s="266"/>
      <c r="V728" s="266"/>
      <c r="W728" s="266"/>
      <c r="X728" s="266"/>
      <c r="Y728" s="271">
        <v>0.4</v>
      </c>
      <c r="Z728" s="605">
        <f t="shared" si="113"/>
        <v>320000</v>
      </c>
      <c r="AA728" s="266"/>
      <c r="AB728" s="605">
        <f t="shared" si="118"/>
        <v>480000</v>
      </c>
      <c r="AC728" s="607">
        <f t="shared" si="116"/>
        <v>160000</v>
      </c>
      <c r="AD728" s="266"/>
    </row>
    <row r="729" spans="1:30" s="272" customFormat="1" ht="47.25" x14ac:dyDescent="0.25">
      <c r="A729" s="113">
        <v>726</v>
      </c>
      <c r="B729" s="373">
        <v>44048</v>
      </c>
      <c r="C729" s="358" t="s">
        <v>5353</v>
      </c>
      <c r="D729" s="358"/>
      <c r="E729" s="358" t="s">
        <v>2404</v>
      </c>
      <c r="F729" s="335" t="s">
        <v>5355</v>
      </c>
      <c r="G729" s="269"/>
      <c r="H729" s="335" t="s">
        <v>1177</v>
      </c>
      <c r="I729" s="358" t="s">
        <v>5354</v>
      </c>
      <c r="J729" s="269"/>
      <c r="K729" s="269"/>
      <c r="L729" s="266"/>
      <c r="M729" s="278"/>
      <c r="N729" s="439"/>
      <c r="O729" s="649" t="s">
        <v>4918</v>
      </c>
      <c r="P729" s="649" t="s">
        <v>180</v>
      </c>
      <c r="Q729" s="508">
        <v>300</v>
      </c>
      <c r="R729" s="415">
        <v>500000</v>
      </c>
      <c r="S729" s="508">
        <v>300000</v>
      </c>
      <c r="T729" s="280">
        <f t="shared" ref="T729" si="137">R729+S729</f>
        <v>800000</v>
      </c>
      <c r="U729" s="266"/>
      <c r="V729" s="266"/>
      <c r="W729" s="266"/>
      <c r="X729" s="266"/>
      <c r="Y729" s="271">
        <v>0.4</v>
      </c>
      <c r="Z729" s="605">
        <f t="shared" si="113"/>
        <v>320000</v>
      </c>
      <c r="AA729" s="266"/>
      <c r="AB729" s="605">
        <f t="shared" si="118"/>
        <v>480000</v>
      </c>
      <c r="AC729" s="607">
        <f t="shared" si="116"/>
        <v>160000</v>
      </c>
      <c r="AD729" s="266"/>
    </row>
    <row r="730" spans="1:30" ht="63" x14ac:dyDescent="0.25">
      <c r="A730" s="74">
        <v>727</v>
      </c>
      <c r="B730" s="22">
        <v>44048</v>
      </c>
      <c r="C730" s="148" t="s">
        <v>5356</v>
      </c>
      <c r="D730" s="148"/>
      <c r="E730" s="148" t="s">
        <v>2404</v>
      </c>
      <c r="F730" s="101" t="s">
        <v>5358</v>
      </c>
      <c r="G730" s="10"/>
      <c r="H730" s="101" t="s">
        <v>1177</v>
      </c>
      <c r="I730" s="148" t="s">
        <v>5357</v>
      </c>
      <c r="J730" s="10"/>
      <c r="K730" s="10"/>
      <c r="L730" s="19"/>
      <c r="M730" s="13"/>
      <c r="N730" s="249"/>
      <c r="O730" s="19" t="s">
        <v>4483</v>
      </c>
      <c r="P730" s="19"/>
      <c r="Q730" s="19"/>
      <c r="R730" s="13"/>
      <c r="S730" s="19"/>
      <c r="T730" s="19"/>
      <c r="U730" s="19"/>
      <c r="V730" s="19"/>
      <c r="W730" s="19"/>
      <c r="X730" s="19"/>
      <c r="Y730" s="19"/>
      <c r="Z730" s="376">
        <f t="shared" si="113"/>
        <v>0</v>
      </c>
      <c r="AA730" s="19"/>
      <c r="AB730" s="376">
        <f t="shared" si="118"/>
        <v>0</v>
      </c>
      <c r="AC730" s="38">
        <f t="shared" si="116"/>
        <v>0</v>
      </c>
      <c r="AD730" s="19"/>
    </row>
    <row r="731" spans="1:30" ht="78.75" x14ac:dyDescent="0.25">
      <c r="A731" s="311">
        <v>728</v>
      </c>
      <c r="B731" s="22">
        <v>44048</v>
      </c>
      <c r="C731" s="148" t="s">
        <v>5360</v>
      </c>
      <c r="D731" s="148"/>
      <c r="E731" s="148" t="s">
        <v>4753</v>
      </c>
      <c r="F731" s="101" t="s">
        <v>5362</v>
      </c>
      <c r="G731" s="10"/>
      <c r="H731" s="101" t="s">
        <v>1177</v>
      </c>
      <c r="I731" s="148" t="s">
        <v>5361</v>
      </c>
      <c r="J731" s="10" t="s">
        <v>5363</v>
      </c>
      <c r="K731" s="10"/>
      <c r="L731" s="19"/>
      <c r="M731" s="13"/>
      <c r="N731" s="249"/>
      <c r="O731" s="19" t="s">
        <v>4483</v>
      </c>
      <c r="P731" s="19"/>
      <c r="Q731" s="19"/>
      <c r="R731" s="13"/>
      <c r="S731" s="19"/>
      <c r="T731" s="19"/>
      <c r="U731" s="19"/>
      <c r="V731" s="19"/>
      <c r="W731" s="19"/>
      <c r="X731" s="19"/>
      <c r="Y731" s="19"/>
      <c r="Z731" s="605">
        <f t="shared" si="113"/>
        <v>0</v>
      </c>
      <c r="AA731" s="19"/>
      <c r="AB731" s="605">
        <f t="shared" si="118"/>
        <v>0</v>
      </c>
      <c r="AC731" s="607">
        <f t="shared" si="116"/>
        <v>0</v>
      </c>
      <c r="AD731" s="19"/>
    </row>
    <row r="732" spans="1:30" ht="47.25" x14ac:dyDescent="0.25">
      <c r="A732" s="113">
        <v>729</v>
      </c>
      <c r="B732" s="22">
        <v>44049</v>
      </c>
      <c r="C732" s="148" t="s">
        <v>5364</v>
      </c>
      <c r="D732" s="148"/>
      <c r="E732" s="148" t="s">
        <v>3646</v>
      </c>
      <c r="F732" s="101" t="s">
        <v>5366</v>
      </c>
      <c r="G732" s="10"/>
      <c r="H732" s="101" t="s">
        <v>345</v>
      </c>
      <c r="I732" s="148" t="s">
        <v>5365</v>
      </c>
      <c r="J732" s="10">
        <v>985966083</v>
      </c>
      <c r="K732" s="10"/>
      <c r="L732" s="19"/>
      <c r="M732" s="13"/>
      <c r="N732" s="249"/>
      <c r="O732" s="19" t="s">
        <v>4483</v>
      </c>
      <c r="P732" s="19"/>
      <c r="Q732" s="19"/>
      <c r="R732" s="13"/>
      <c r="S732" s="19"/>
      <c r="T732" s="19"/>
      <c r="U732" s="19"/>
      <c r="V732" s="19"/>
      <c r="W732" s="19"/>
      <c r="X732" s="19"/>
      <c r="Y732" s="19"/>
      <c r="Z732" s="605">
        <f t="shared" si="113"/>
        <v>0</v>
      </c>
      <c r="AA732" s="19"/>
      <c r="AB732" s="605">
        <f t="shared" si="118"/>
        <v>0</v>
      </c>
      <c r="AC732" s="607">
        <f t="shared" si="116"/>
        <v>0</v>
      </c>
      <c r="AD732" s="19"/>
    </row>
    <row r="733" spans="1:30" ht="47.25" x14ac:dyDescent="0.25">
      <c r="A733" s="74">
        <v>730</v>
      </c>
      <c r="B733" s="22">
        <v>44049</v>
      </c>
      <c r="C733" s="148" t="s">
        <v>5367</v>
      </c>
      <c r="D733" s="148"/>
      <c r="E733" s="148" t="s">
        <v>4753</v>
      </c>
      <c r="F733" s="101" t="s">
        <v>5369</v>
      </c>
      <c r="G733" s="10"/>
      <c r="H733" s="101" t="s">
        <v>1639</v>
      </c>
      <c r="I733" s="148" t="s">
        <v>5368</v>
      </c>
      <c r="J733" s="10"/>
      <c r="K733" s="10"/>
      <c r="L733" s="19"/>
      <c r="M733" s="13"/>
      <c r="N733" s="249"/>
      <c r="O733" s="19" t="s">
        <v>4483</v>
      </c>
      <c r="P733" s="19"/>
      <c r="Q733" s="19"/>
      <c r="R733" s="13"/>
      <c r="S733" s="19"/>
      <c r="T733" s="19"/>
      <c r="U733" s="19"/>
      <c r="V733" s="19"/>
      <c r="W733" s="19"/>
      <c r="X733" s="19"/>
      <c r="Y733" s="19"/>
      <c r="Z733" s="605">
        <f t="shared" si="113"/>
        <v>0</v>
      </c>
      <c r="AA733" s="19"/>
      <c r="AB733" s="605">
        <f t="shared" si="118"/>
        <v>0</v>
      </c>
      <c r="AC733" s="607">
        <f t="shared" si="116"/>
        <v>0</v>
      </c>
      <c r="AD733" s="19"/>
    </row>
    <row r="734" spans="1:30" s="272" customFormat="1" ht="63" x14ac:dyDescent="0.25">
      <c r="A734" s="311">
        <v>731</v>
      </c>
      <c r="B734" s="373">
        <v>44049</v>
      </c>
      <c r="C734" s="358" t="s">
        <v>5370</v>
      </c>
      <c r="D734" s="358"/>
      <c r="E734" s="358" t="s">
        <v>3479</v>
      </c>
      <c r="F734" s="335" t="s">
        <v>5372</v>
      </c>
      <c r="G734" s="269"/>
      <c r="H734" s="335" t="s">
        <v>168</v>
      </c>
      <c r="I734" s="358" t="s">
        <v>5371</v>
      </c>
      <c r="J734" s="269"/>
      <c r="K734" s="269"/>
      <c r="L734" s="266"/>
      <c r="M734" s="278"/>
      <c r="N734" s="439"/>
      <c r="O734" s="649" t="s">
        <v>4918</v>
      </c>
      <c r="P734" s="649" t="s">
        <v>180</v>
      </c>
      <c r="Q734" s="508">
        <v>300</v>
      </c>
      <c r="R734" s="415">
        <v>500000</v>
      </c>
      <c r="S734" s="508">
        <v>300000</v>
      </c>
      <c r="T734" s="280">
        <f t="shared" ref="T734" si="138">R734+S734</f>
        <v>800000</v>
      </c>
      <c r="U734" s="266"/>
      <c r="V734" s="266"/>
      <c r="W734" s="266"/>
      <c r="X734" s="266"/>
      <c r="Y734" s="271">
        <v>0.4</v>
      </c>
      <c r="Z734" s="605">
        <f t="shared" si="113"/>
        <v>320000</v>
      </c>
      <c r="AA734" s="266"/>
      <c r="AB734" s="605">
        <f t="shared" si="118"/>
        <v>480000</v>
      </c>
      <c r="AC734" s="607">
        <f t="shared" si="116"/>
        <v>160000</v>
      </c>
      <c r="AD734" s="266"/>
    </row>
    <row r="735" spans="1:30" ht="63" x14ac:dyDescent="0.25">
      <c r="A735" s="113">
        <v>732</v>
      </c>
      <c r="B735" s="22">
        <v>44049</v>
      </c>
      <c r="C735" s="148" t="s">
        <v>5397</v>
      </c>
      <c r="D735" s="148" t="s">
        <v>502</v>
      </c>
      <c r="E735" s="148" t="s">
        <v>3646</v>
      </c>
      <c r="F735" s="101" t="s">
        <v>5398</v>
      </c>
      <c r="G735" s="10"/>
      <c r="H735" s="101" t="s">
        <v>1639</v>
      </c>
      <c r="I735" s="148" t="s">
        <v>5400</v>
      </c>
      <c r="J735" s="10">
        <v>975042916</v>
      </c>
      <c r="K735" s="208" t="s">
        <v>5399</v>
      </c>
      <c r="L735" s="19"/>
      <c r="M735" s="13"/>
      <c r="N735" s="249"/>
      <c r="O735" s="19" t="s">
        <v>4483</v>
      </c>
      <c r="P735" s="19"/>
      <c r="Q735" s="19"/>
      <c r="R735" s="13"/>
      <c r="S735" s="19"/>
      <c r="T735" s="19"/>
      <c r="U735" s="19"/>
      <c r="V735" s="19"/>
      <c r="W735" s="19"/>
      <c r="X735" s="19"/>
      <c r="Y735" s="19"/>
      <c r="Z735" s="605">
        <f t="shared" si="113"/>
        <v>0</v>
      </c>
      <c r="AA735" s="19"/>
      <c r="AB735" s="605">
        <f t="shared" si="118"/>
        <v>0</v>
      </c>
      <c r="AC735" s="607">
        <f t="shared" si="116"/>
        <v>0</v>
      </c>
      <c r="AD735" s="19"/>
    </row>
    <row r="736" spans="1:30" s="272" customFormat="1" ht="63" x14ac:dyDescent="0.25">
      <c r="A736" s="74">
        <v>733</v>
      </c>
      <c r="B736" s="373">
        <v>44049</v>
      </c>
      <c r="C736" s="358" t="s">
        <v>5397</v>
      </c>
      <c r="D736" s="358" t="s">
        <v>502</v>
      </c>
      <c r="E736" s="358" t="s">
        <v>3646</v>
      </c>
      <c r="F736" s="335" t="s">
        <v>5398</v>
      </c>
      <c r="G736" s="269"/>
      <c r="H736" s="335" t="s">
        <v>1639</v>
      </c>
      <c r="I736" s="358" t="s">
        <v>5400</v>
      </c>
      <c r="J736" s="269">
        <v>975042916</v>
      </c>
      <c r="K736" s="380" t="s">
        <v>5399</v>
      </c>
      <c r="L736" s="266"/>
      <c r="M736" s="278"/>
      <c r="N736" s="439"/>
      <c r="O736" s="649" t="s">
        <v>4918</v>
      </c>
      <c r="P736" s="649" t="s">
        <v>94</v>
      </c>
      <c r="Q736" s="508">
        <v>300</v>
      </c>
      <c r="R736" s="415"/>
      <c r="S736" s="508">
        <v>300000</v>
      </c>
      <c r="T736" s="280">
        <f t="shared" ref="T736:T737" si="139">R736+S736</f>
        <v>300000</v>
      </c>
      <c r="U736" s="266"/>
      <c r="V736" s="266"/>
      <c r="W736" s="266"/>
      <c r="X736" s="266"/>
      <c r="Y736" s="266"/>
      <c r="Z736" s="605">
        <f t="shared" si="113"/>
        <v>0</v>
      </c>
      <c r="AA736" s="266"/>
      <c r="AB736" s="605">
        <f t="shared" si="118"/>
        <v>180000</v>
      </c>
      <c r="AC736" s="607">
        <f t="shared" si="116"/>
        <v>180000</v>
      </c>
      <c r="AD736" s="266"/>
    </row>
    <row r="737" spans="1:30" s="272" customFormat="1" ht="47.25" x14ac:dyDescent="0.25">
      <c r="A737" s="311">
        <v>734</v>
      </c>
      <c r="B737" s="373">
        <v>44049</v>
      </c>
      <c r="C737" s="358" t="s">
        <v>5401</v>
      </c>
      <c r="D737" s="358"/>
      <c r="E737" s="358" t="s">
        <v>309</v>
      </c>
      <c r="F737" s="335" t="s">
        <v>5402</v>
      </c>
      <c r="G737" s="269"/>
      <c r="H737" s="335" t="s">
        <v>168</v>
      </c>
      <c r="I737" s="358" t="s">
        <v>5403</v>
      </c>
      <c r="J737" s="269"/>
      <c r="K737" s="269"/>
      <c r="L737" s="266"/>
      <c r="M737" s="278"/>
      <c r="N737" s="439"/>
      <c r="O737" s="649" t="s">
        <v>4918</v>
      </c>
      <c r="P737" s="649" t="s">
        <v>180</v>
      </c>
      <c r="Q737" s="508">
        <v>300</v>
      </c>
      <c r="R737" s="415">
        <v>500000</v>
      </c>
      <c r="S737" s="508">
        <v>300000</v>
      </c>
      <c r="T737" s="280">
        <f t="shared" si="139"/>
        <v>800000</v>
      </c>
      <c r="U737" s="266"/>
      <c r="V737" s="266"/>
      <c r="W737" s="266"/>
      <c r="X737" s="266"/>
      <c r="Y737" s="266"/>
      <c r="Z737" s="605">
        <f t="shared" si="113"/>
        <v>0</v>
      </c>
      <c r="AA737" s="266"/>
      <c r="AB737" s="605">
        <f t="shared" si="118"/>
        <v>480000</v>
      </c>
      <c r="AC737" s="607">
        <f t="shared" si="116"/>
        <v>480000</v>
      </c>
      <c r="AD737" s="266"/>
    </row>
    <row r="738" spans="1:30" s="272" customFormat="1" ht="47.25" x14ac:dyDescent="0.25">
      <c r="A738" s="113">
        <v>735</v>
      </c>
      <c r="B738" s="373">
        <v>44049</v>
      </c>
      <c r="C738" s="358" t="s">
        <v>5404</v>
      </c>
      <c r="D738" s="358"/>
      <c r="E738" s="358" t="s">
        <v>309</v>
      </c>
      <c r="F738" s="335" t="s">
        <v>5406</v>
      </c>
      <c r="G738" s="269"/>
      <c r="H738" s="335" t="s">
        <v>273</v>
      </c>
      <c r="I738" s="358" t="s">
        <v>5405</v>
      </c>
      <c r="J738" s="269"/>
      <c r="K738" s="269"/>
      <c r="L738" s="266"/>
      <c r="M738" s="278"/>
      <c r="N738" s="439"/>
      <c r="O738" s="649" t="s">
        <v>4918</v>
      </c>
      <c r="P738" s="649" t="s">
        <v>180</v>
      </c>
      <c r="Q738" s="508">
        <v>300</v>
      </c>
      <c r="R738" s="415">
        <v>500000</v>
      </c>
      <c r="S738" s="508">
        <v>300000</v>
      </c>
      <c r="T738" s="280">
        <f t="shared" ref="T738" si="140">R738+S738</f>
        <v>800000</v>
      </c>
      <c r="U738" s="266"/>
      <c r="V738" s="266"/>
      <c r="W738" s="266"/>
      <c r="X738" s="266"/>
      <c r="Y738" s="271">
        <v>0.35</v>
      </c>
      <c r="Z738" s="605">
        <f t="shared" ref="Z738:Z801" si="141">T738*Y738</f>
        <v>280000</v>
      </c>
      <c r="AA738" s="266"/>
      <c r="AB738" s="605">
        <f t="shared" si="118"/>
        <v>480000</v>
      </c>
      <c r="AC738" s="607">
        <f t="shared" si="116"/>
        <v>200000</v>
      </c>
      <c r="AD738" s="266"/>
    </row>
    <row r="739" spans="1:30" s="272" customFormat="1" ht="47.25" x14ac:dyDescent="0.25">
      <c r="A739" s="74">
        <v>736</v>
      </c>
      <c r="B739" s="373">
        <v>44049</v>
      </c>
      <c r="C739" s="358" t="s">
        <v>5407</v>
      </c>
      <c r="D739" s="358"/>
      <c r="E739" s="358" t="s">
        <v>309</v>
      </c>
      <c r="F739" s="335" t="s">
        <v>5408</v>
      </c>
      <c r="G739" s="269"/>
      <c r="H739" s="335" t="s">
        <v>168</v>
      </c>
      <c r="I739" s="358" t="s">
        <v>5409</v>
      </c>
      <c r="J739" s="269"/>
      <c r="K739" s="269"/>
      <c r="L739" s="266"/>
      <c r="M739" s="278"/>
      <c r="N739" s="439"/>
      <c r="O739" s="649" t="s">
        <v>4918</v>
      </c>
      <c r="P739" s="649" t="s">
        <v>180</v>
      </c>
      <c r="Q739" s="508">
        <v>300</v>
      </c>
      <c r="R739" s="415">
        <v>500000</v>
      </c>
      <c r="S739" s="508">
        <v>300000</v>
      </c>
      <c r="T739" s="280">
        <f t="shared" ref="T739" si="142">R739+S739</f>
        <v>800000</v>
      </c>
      <c r="U739" s="266"/>
      <c r="V739" s="266"/>
      <c r="W739" s="266"/>
      <c r="X739" s="266"/>
      <c r="Y739" s="271">
        <v>0.35</v>
      </c>
      <c r="Z739" s="605">
        <f t="shared" si="141"/>
        <v>280000</v>
      </c>
      <c r="AA739" s="266"/>
      <c r="AB739" s="605">
        <f t="shared" si="118"/>
        <v>480000</v>
      </c>
      <c r="AC739" s="607">
        <f t="shared" si="116"/>
        <v>200000</v>
      </c>
      <c r="AD739" s="266"/>
    </row>
    <row r="740" spans="1:30" s="272" customFormat="1" ht="78.75" x14ac:dyDescent="0.25">
      <c r="A740" s="311">
        <v>737</v>
      </c>
      <c r="B740" s="373">
        <v>44049</v>
      </c>
      <c r="C740" s="358" t="s">
        <v>5410</v>
      </c>
      <c r="D740" s="358"/>
      <c r="E740" s="358" t="s">
        <v>309</v>
      </c>
      <c r="F740" s="335" t="s">
        <v>5411</v>
      </c>
      <c r="G740" s="269"/>
      <c r="H740" s="335" t="s">
        <v>168</v>
      </c>
      <c r="I740" s="358" t="s">
        <v>5412</v>
      </c>
      <c r="J740" s="269"/>
      <c r="K740" s="269"/>
      <c r="L740" s="266"/>
      <c r="M740" s="278"/>
      <c r="N740" s="439"/>
      <c r="O740" s="649" t="s">
        <v>4918</v>
      </c>
      <c r="P740" s="649" t="s">
        <v>180</v>
      </c>
      <c r="Q740" s="508">
        <v>300</v>
      </c>
      <c r="R740" s="415">
        <v>500000</v>
      </c>
      <c r="S740" s="508">
        <v>300000</v>
      </c>
      <c r="T740" s="280">
        <f t="shared" ref="T740" si="143">R740+S740</f>
        <v>800000</v>
      </c>
      <c r="U740" s="266"/>
      <c r="V740" s="266"/>
      <c r="W740" s="266"/>
      <c r="X740" s="266"/>
      <c r="Y740" s="271">
        <v>0.35</v>
      </c>
      <c r="Z740" s="605">
        <f t="shared" si="141"/>
        <v>280000</v>
      </c>
      <c r="AA740" s="266"/>
      <c r="AB740" s="605">
        <f t="shared" si="118"/>
        <v>480000</v>
      </c>
      <c r="AC740" s="607">
        <f t="shared" si="116"/>
        <v>200000</v>
      </c>
      <c r="AD740" s="266"/>
    </row>
    <row r="741" spans="1:30" s="272" customFormat="1" ht="63" x14ac:dyDescent="0.25">
      <c r="A741" s="113">
        <v>738</v>
      </c>
      <c r="B741" s="373">
        <v>44049</v>
      </c>
      <c r="C741" s="358" t="s">
        <v>5413</v>
      </c>
      <c r="D741" s="358"/>
      <c r="E741" s="358" t="s">
        <v>309</v>
      </c>
      <c r="F741" s="335" t="s">
        <v>5414</v>
      </c>
      <c r="G741" s="269"/>
      <c r="H741" s="335" t="s">
        <v>168</v>
      </c>
      <c r="I741" s="358" t="s">
        <v>5415</v>
      </c>
      <c r="J741" s="269"/>
      <c r="K741" s="269"/>
      <c r="L741" s="266"/>
      <c r="M741" s="278"/>
      <c r="N741" s="439"/>
      <c r="O741" s="649" t="s">
        <v>4918</v>
      </c>
      <c r="P741" s="649" t="s">
        <v>180</v>
      </c>
      <c r="Q741" s="508">
        <v>300</v>
      </c>
      <c r="R741" s="415">
        <v>500000</v>
      </c>
      <c r="S741" s="508">
        <v>300000</v>
      </c>
      <c r="T741" s="280">
        <f t="shared" ref="T741" si="144">R741+S741</f>
        <v>800000</v>
      </c>
      <c r="U741" s="266"/>
      <c r="V741" s="266"/>
      <c r="W741" s="266"/>
      <c r="X741" s="266"/>
      <c r="Y741" s="271">
        <v>0.35</v>
      </c>
      <c r="Z741" s="605">
        <f t="shared" si="141"/>
        <v>280000</v>
      </c>
      <c r="AA741" s="266"/>
      <c r="AB741" s="605">
        <f t="shared" si="118"/>
        <v>480000</v>
      </c>
      <c r="AC741" s="607">
        <f t="shared" si="116"/>
        <v>200000</v>
      </c>
      <c r="AD741" s="266"/>
    </row>
    <row r="742" spans="1:30" s="272" customFormat="1" ht="47.25" x14ac:dyDescent="0.25">
      <c r="A742" s="74">
        <v>739</v>
      </c>
      <c r="B742" s="373">
        <v>44049</v>
      </c>
      <c r="C742" s="358" t="s">
        <v>5416</v>
      </c>
      <c r="D742" s="358"/>
      <c r="E742" s="358" t="s">
        <v>309</v>
      </c>
      <c r="F742" s="335" t="s">
        <v>5418</v>
      </c>
      <c r="G742" s="269"/>
      <c r="H742" s="335" t="s">
        <v>273</v>
      </c>
      <c r="I742" s="358" t="s">
        <v>5417</v>
      </c>
      <c r="J742" s="269"/>
      <c r="K742" s="269"/>
      <c r="L742" s="266"/>
      <c r="M742" s="278"/>
      <c r="N742" s="439"/>
      <c r="O742" s="649" t="s">
        <v>4918</v>
      </c>
      <c r="P742" s="649" t="s">
        <v>180</v>
      </c>
      <c r="Q742" s="508">
        <v>300</v>
      </c>
      <c r="R742" s="415">
        <v>500000</v>
      </c>
      <c r="S742" s="508">
        <v>300000</v>
      </c>
      <c r="T742" s="280">
        <f t="shared" ref="T742" si="145">R742+S742</f>
        <v>800000</v>
      </c>
      <c r="U742" s="266"/>
      <c r="V742" s="266"/>
      <c r="W742" s="266"/>
      <c r="X742" s="266"/>
      <c r="Y742" s="271">
        <v>0.35</v>
      </c>
      <c r="Z742" s="605">
        <f t="shared" si="141"/>
        <v>280000</v>
      </c>
      <c r="AA742" s="266"/>
      <c r="AB742" s="605">
        <f t="shared" si="118"/>
        <v>480000</v>
      </c>
      <c r="AC742" s="607">
        <f t="shared" si="116"/>
        <v>200000</v>
      </c>
      <c r="AD742" s="266"/>
    </row>
    <row r="743" spans="1:30" s="272" customFormat="1" ht="63" x14ac:dyDescent="0.25">
      <c r="A743" s="311">
        <v>740</v>
      </c>
      <c r="B743" s="373">
        <v>44049</v>
      </c>
      <c r="C743" s="358" t="s">
        <v>5419</v>
      </c>
      <c r="D743" s="358"/>
      <c r="E743" s="358" t="s">
        <v>309</v>
      </c>
      <c r="F743" s="335" t="s">
        <v>5420</v>
      </c>
      <c r="G743" s="269"/>
      <c r="H743" s="335" t="s">
        <v>353</v>
      </c>
      <c r="I743" s="358" t="s">
        <v>5421</v>
      </c>
      <c r="J743" s="269"/>
      <c r="K743" s="269"/>
      <c r="L743" s="266"/>
      <c r="M743" s="278"/>
      <c r="N743" s="439"/>
      <c r="O743" s="649" t="s">
        <v>4918</v>
      </c>
      <c r="P743" s="649" t="s">
        <v>180</v>
      </c>
      <c r="Q743" s="508">
        <v>300</v>
      </c>
      <c r="R743" s="415">
        <v>500000</v>
      </c>
      <c r="S743" s="508">
        <v>300000</v>
      </c>
      <c r="T743" s="280">
        <f t="shared" ref="T743" si="146">R743+S743</f>
        <v>800000</v>
      </c>
      <c r="U743" s="266"/>
      <c r="V743" s="266"/>
      <c r="W743" s="266"/>
      <c r="X743" s="266"/>
      <c r="Y743" s="271">
        <v>0.35</v>
      </c>
      <c r="Z743" s="605">
        <f t="shared" si="141"/>
        <v>280000</v>
      </c>
      <c r="AA743" s="266"/>
      <c r="AB743" s="605">
        <f t="shared" si="118"/>
        <v>480000</v>
      </c>
      <c r="AC743" s="607">
        <f t="shared" si="116"/>
        <v>200000</v>
      </c>
      <c r="AD743" s="266"/>
    </row>
    <row r="744" spans="1:30" ht="63" x14ac:dyDescent="0.25">
      <c r="A744" s="113">
        <v>741</v>
      </c>
      <c r="B744" s="22">
        <v>44050</v>
      </c>
      <c r="C744" s="148" t="s">
        <v>5422</v>
      </c>
      <c r="D744" s="148"/>
      <c r="E744" s="148" t="s">
        <v>4753</v>
      </c>
      <c r="F744" s="101" t="s">
        <v>5423</v>
      </c>
      <c r="G744" s="10"/>
      <c r="H744" s="101" t="s">
        <v>5425</v>
      </c>
      <c r="I744" s="148" t="s">
        <v>5424</v>
      </c>
      <c r="J744" s="10"/>
      <c r="K744" s="10"/>
      <c r="L744" s="19"/>
      <c r="M744" s="13"/>
      <c r="N744" s="249"/>
      <c r="O744" s="19" t="s">
        <v>4483</v>
      </c>
      <c r="P744" s="19"/>
      <c r="Q744" s="19"/>
      <c r="R744" s="13"/>
      <c r="S744" s="19"/>
      <c r="T744" s="19"/>
      <c r="U744" s="19"/>
      <c r="V744" s="19"/>
      <c r="W744" s="19"/>
      <c r="X744" s="19"/>
      <c r="Y744" s="19"/>
      <c r="Z744" s="605">
        <f t="shared" si="141"/>
        <v>0</v>
      </c>
      <c r="AA744" s="19"/>
      <c r="AB744" s="605">
        <f t="shared" si="118"/>
        <v>0</v>
      </c>
      <c r="AC744" s="607">
        <f t="shared" si="116"/>
        <v>0</v>
      </c>
      <c r="AD744" s="19"/>
    </row>
    <row r="745" spans="1:30" ht="63" x14ac:dyDescent="0.25">
      <c r="A745" s="699">
        <v>742</v>
      </c>
      <c r="B745" s="22">
        <v>44050</v>
      </c>
      <c r="C745" s="148" t="s">
        <v>5427</v>
      </c>
      <c r="D745" s="148" t="s">
        <v>3024</v>
      </c>
      <c r="E745" s="148" t="s">
        <v>3646</v>
      </c>
      <c r="F745" s="101" t="s">
        <v>5426</v>
      </c>
      <c r="G745" s="10"/>
      <c r="H745" s="101" t="s">
        <v>345</v>
      </c>
      <c r="I745" s="148" t="s">
        <v>5428</v>
      </c>
      <c r="J745" s="10"/>
      <c r="K745" s="10"/>
      <c r="L745" s="19"/>
      <c r="M745" s="13"/>
      <c r="N745" s="249"/>
      <c r="O745" s="693" t="s">
        <v>4918</v>
      </c>
      <c r="P745" s="693" t="s">
        <v>180</v>
      </c>
      <c r="Q745" s="365">
        <v>300</v>
      </c>
      <c r="R745" s="364">
        <v>500000</v>
      </c>
      <c r="S745" s="365">
        <v>300000</v>
      </c>
      <c r="T745" s="219">
        <f t="shared" ref="T745:T746" si="147">R745+S745</f>
        <v>800000</v>
      </c>
      <c r="U745" s="19"/>
      <c r="V745" s="19"/>
      <c r="W745" s="19"/>
      <c r="X745" s="19"/>
      <c r="Y745" s="165">
        <v>0.45</v>
      </c>
      <c r="Z745" s="376">
        <f t="shared" si="141"/>
        <v>360000</v>
      </c>
      <c r="AA745" s="19"/>
      <c r="AB745" s="376">
        <f t="shared" si="118"/>
        <v>480000</v>
      </c>
      <c r="AC745" s="38">
        <f t="shared" si="116"/>
        <v>120000</v>
      </c>
      <c r="AD745" s="19" t="s">
        <v>6598</v>
      </c>
    </row>
    <row r="746" spans="1:30" s="272" customFormat="1" ht="78.75" x14ac:dyDescent="0.25">
      <c r="A746" s="311">
        <v>743</v>
      </c>
      <c r="B746" s="373">
        <v>44050</v>
      </c>
      <c r="C746" s="358" t="s">
        <v>5429</v>
      </c>
      <c r="D746" s="358"/>
      <c r="E746" s="358" t="s">
        <v>309</v>
      </c>
      <c r="F746" s="335" t="s">
        <v>5430</v>
      </c>
      <c r="G746" s="269"/>
      <c r="H746" s="335" t="s">
        <v>5432</v>
      </c>
      <c r="I746" s="358" t="s">
        <v>5431</v>
      </c>
      <c r="J746" s="269"/>
      <c r="K746" s="269"/>
      <c r="L746" s="266"/>
      <c r="M746" s="278"/>
      <c r="N746" s="439"/>
      <c r="O746" s="266" t="s">
        <v>4932</v>
      </c>
      <c r="P746" s="266" t="s">
        <v>180</v>
      </c>
      <c r="Q746" s="266">
        <v>500</v>
      </c>
      <c r="R746" s="278">
        <v>500000</v>
      </c>
      <c r="S746" s="266">
        <v>425000</v>
      </c>
      <c r="T746" s="266">
        <f t="shared" si="147"/>
        <v>925000</v>
      </c>
      <c r="U746" s="266"/>
      <c r="V746" s="266"/>
      <c r="W746" s="266"/>
      <c r="X746" s="266"/>
      <c r="Y746" s="271">
        <v>0.35</v>
      </c>
      <c r="Z746" s="605">
        <f t="shared" si="141"/>
        <v>323750</v>
      </c>
      <c r="AA746" s="266"/>
      <c r="AB746" s="605">
        <f t="shared" si="118"/>
        <v>555000</v>
      </c>
      <c r="AC746" s="607">
        <f t="shared" si="116"/>
        <v>231250</v>
      </c>
      <c r="AD746" s="266"/>
    </row>
    <row r="747" spans="1:30" s="272" customFormat="1" ht="47.25" x14ac:dyDescent="0.25">
      <c r="A747" s="113">
        <v>744</v>
      </c>
      <c r="B747" s="373">
        <v>44050</v>
      </c>
      <c r="C747" s="358" t="s">
        <v>5433</v>
      </c>
      <c r="D747" s="358" t="s">
        <v>4753</v>
      </c>
      <c r="E747" s="358" t="s">
        <v>4753</v>
      </c>
      <c r="F747" s="335" t="s">
        <v>5434</v>
      </c>
      <c r="G747" s="269"/>
      <c r="H747" s="335" t="s">
        <v>345</v>
      </c>
      <c r="I747" s="358" t="s">
        <v>5435</v>
      </c>
      <c r="J747" s="269"/>
      <c r="K747" s="269"/>
      <c r="L747" s="266"/>
      <c r="M747" s="278"/>
      <c r="N747" s="439"/>
      <c r="O747" s="649" t="s">
        <v>4918</v>
      </c>
      <c r="P747" s="649" t="s">
        <v>180</v>
      </c>
      <c r="Q747" s="508">
        <v>300</v>
      </c>
      <c r="R747" s="415">
        <v>500000</v>
      </c>
      <c r="S747" s="508">
        <v>300000</v>
      </c>
      <c r="T747" s="280">
        <f t="shared" ref="T747" si="148">R747+S747</f>
        <v>800000</v>
      </c>
      <c r="U747" s="266"/>
      <c r="V747" s="266"/>
      <c r="W747" s="266"/>
      <c r="X747" s="266"/>
      <c r="Y747" s="271">
        <v>0.4</v>
      </c>
      <c r="Z747" s="605">
        <f t="shared" si="141"/>
        <v>320000</v>
      </c>
      <c r="AA747" s="266"/>
      <c r="AB747" s="605">
        <f t="shared" si="118"/>
        <v>480000</v>
      </c>
      <c r="AC747" s="607">
        <f t="shared" si="116"/>
        <v>160000</v>
      </c>
      <c r="AD747" s="266"/>
    </row>
    <row r="748" spans="1:30" ht="47.25" x14ac:dyDescent="0.25">
      <c r="A748" s="74">
        <v>745</v>
      </c>
      <c r="B748" s="22">
        <v>44050</v>
      </c>
      <c r="C748" s="148" t="s">
        <v>5436</v>
      </c>
      <c r="D748" s="148"/>
      <c r="E748" s="148" t="s">
        <v>2404</v>
      </c>
      <c r="F748" s="101" t="s">
        <v>5438</v>
      </c>
      <c r="G748" s="10"/>
      <c r="H748" s="101" t="s">
        <v>1177</v>
      </c>
      <c r="I748" s="148" t="s">
        <v>5437</v>
      </c>
      <c r="J748" s="10"/>
      <c r="K748" s="10"/>
      <c r="L748" s="19"/>
      <c r="M748" s="13"/>
      <c r="N748" s="249"/>
      <c r="O748" s="19" t="s">
        <v>4483</v>
      </c>
      <c r="P748" s="19"/>
      <c r="Q748" s="19"/>
      <c r="R748" s="13"/>
      <c r="S748" s="19"/>
      <c r="T748" s="19"/>
      <c r="U748" s="19"/>
      <c r="V748" s="19"/>
      <c r="W748" s="19"/>
      <c r="X748" s="19"/>
      <c r="Y748" s="19"/>
      <c r="Z748" s="376">
        <f t="shared" si="141"/>
        <v>0</v>
      </c>
      <c r="AA748" s="19"/>
      <c r="AB748" s="376">
        <f t="shared" si="118"/>
        <v>0</v>
      </c>
      <c r="AC748" s="38">
        <f t="shared" si="116"/>
        <v>0</v>
      </c>
      <c r="AD748" s="19"/>
    </row>
    <row r="749" spans="1:30" ht="63" x14ac:dyDescent="0.25">
      <c r="A749" s="311">
        <v>746</v>
      </c>
      <c r="B749" s="22">
        <v>44050</v>
      </c>
      <c r="C749" s="148" t="s">
        <v>5439</v>
      </c>
      <c r="D749" s="148"/>
      <c r="E749" s="148" t="s">
        <v>2404</v>
      </c>
      <c r="F749" s="101" t="s">
        <v>5440</v>
      </c>
      <c r="G749" s="10"/>
      <c r="H749" s="101" t="s">
        <v>1177</v>
      </c>
      <c r="I749" s="148" t="s">
        <v>5441</v>
      </c>
      <c r="J749" s="10"/>
      <c r="K749" s="10"/>
      <c r="L749" s="19"/>
      <c r="M749" s="13"/>
      <c r="N749" s="249"/>
      <c r="O749" s="19" t="s">
        <v>4483</v>
      </c>
      <c r="P749" s="19"/>
      <c r="Q749" s="19"/>
      <c r="R749" s="13"/>
      <c r="S749" s="19"/>
      <c r="T749" s="19"/>
      <c r="U749" s="19"/>
      <c r="V749" s="19"/>
      <c r="W749" s="19"/>
      <c r="X749" s="19"/>
      <c r="Y749" s="19"/>
      <c r="Z749" s="376">
        <f t="shared" si="141"/>
        <v>0</v>
      </c>
      <c r="AA749" s="19"/>
      <c r="AB749" s="376">
        <f t="shared" si="118"/>
        <v>0</v>
      </c>
      <c r="AC749" s="38">
        <f t="shared" si="116"/>
        <v>0</v>
      </c>
      <c r="AD749" s="19"/>
    </row>
    <row r="750" spans="1:30" s="7" customFormat="1" ht="63" x14ac:dyDescent="0.25">
      <c r="A750" s="715">
        <v>747</v>
      </c>
      <c r="B750" s="517">
        <v>44050</v>
      </c>
      <c r="C750" s="157" t="s">
        <v>5442</v>
      </c>
      <c r="D750" s="157"/>
      <c r="E750" s="157" t="s">
        <v>2404</v>
      </c>
      <c r="F750" s="29" t="s">
        <v>5443</v>
      </c>
      <c r="G750" s="10"/>
      <c r="H750" s="29" t="s">
        <v>1177</v>
      </c>
      <c r="I750" s="157" t="s">
        <v>5357</v>
      </c>
      <c r="J750" s="10"/>
      <c r="K750" s="10"/>
      <c r="L750" s="10"/>
      <c r="M750" s="11"/>
      <c r="N750" s="249"/>
      <c r="O750" s="10" t="s">
        <v>4483</v>
      </c>
      <c r="P750" s="10"/>
      <c r="Q750" s="10"/>
      <c r="R750" s="11"/>
      <c r="S750" s="10"/>
      <c r="T750" s="10"/>
      <c r="U750" s="10"/>
      <c r="V750" s="10"/>
      <c r="W750" s="10"/>
      <c r="X750" s="10"/>
      <c r="Y750" s="10"/>
      <c r="Z750" s="605">
        <f t="shared" si="141"/>
        <v>0</v>
      </c>
      <c r="AA750" s="10"/>
      <c r="AB750" s="607">
        <f t="shared" si="118"/>
        <v>0</v>
      </c>
      <c r="AC750" s="607">
        <f t="shared" si="116"/>
        <v>0</v>
      </c>
      <c r="AD750" s="10"/>
    </row>
    <row r="751" spans="1:30" ht="47.25" x14ac:dyDescent="0.25">
      <c r="A751" s="74">
        <v>748</v>
      </c>
      <c r="B751" s="373">
        <v>44050</v>
      </c>
      <c r="C751" s="148" t="s">
        <v>5444</v>
      </c>
      <c r="D751" s="148"/>
      <c r="E751" s="148" t="s">
        <v>2404</v>
      </c>
      <c r="F751" s="101" t="s">
        <v>5446</v>
      </c>
      <c r="G751" s="10"/>
      <c r="H751" s="101" t="s">
        <v>1177</v>
      </c>
      <c r="I751" s="148" t="s">
        <v>5445</v>
      </c>
      <c r="J751" s="10"/>
      <c r="K751" s="10"/>
      <c r="L751" s="19"/>
      <c r="M751" s="13"/>
      <c r="N751" s="249"/>
      <c r="O751" s="19" t="s">
        <v>4483</v>
      </c>
      <c r="P751" s="19"/>
      <c r="Q751" s="19"/>
      <c r="R751" s="13"/>
      <c r="S751" s="19"/>
      <c r="T751" s="19"/>
      <c r="U751" s="19"/>
      <c r="V751" s="19"/>
      <c r="W751" s="19"/>
      <c r="X751" s="19"/>
      <c r="Y751" s="19"/>
      <c r="Z751" s="605">
        <f t="shared" si="141"/>
        <v>0</v>
      </c>
      <c r="AA751" s="19"/>
      <c r="AB751" s="605">
        <f t="shared" si="118"/>
        <v>0</v>
      </c>
      <c r="AC751" s="607">
        <f t="shared" si="116"/>
        <v>0</v>
      </c>
      <c r="AD751" s="19"/>
    </row>
    <row r="752" spans="1:30" s="272" customFormat="1" ht="31.5" x14ac:dyDescent="0.25">
      <c r="A752" s="311">
        <v>749</v>
      </c>
      <c r="B752" s="373">
        <v>44050</v>
      </c>
      <c r="C752" s="358" t="s">
        <v>5447</v>
      </c>
      <c r="D752" s="358" t="s">
        <v>1260</v>
      </c>
      <c r="E752" s="358" t="s">
        <v>3646</v>
      </c>
      <c r="F752" s="335" t="s">
        <v>5448</v>
      </c>
      <c r="G752" s="269"/>
      <c r="H752" s="335" t="s">
        <v>322</v>
      </c>
      <c r="I752" s="358" t="s">
        <v>5449</v>
      </c>
      <c r="J752" s="269"/>
      <c r="K752" s="269"/>
      <c r="L752" s="266"/>
      <c r="M752" s="278"/>
      <c r="N752" s="439"/>
      <c r="O752" s="649" t="s">
        <v>4918</v>
      </c>
      <c r="P752" s="649" t="s">
        <v>180</v>
      </c>
      <c r="Q752" s="508">
        <v>300</v>
      </c>
      <c r="R752" s="415">
        <v>500000</v>
      </c>
      <c r="S752" s="508">
        <v>300000</v>
      </c>
      <c r="T752" s="280">
        <f t="shared" ref="T752" si="149">R752+S752</f>
        <v>800000</v>
      </c>
      <c r="U752" s="266"/>
      <c r="V752" s="266"/>
      <c r="W752" s="266"/>
      <c r="X752" s="266"/>
      <c r="Y752" s="271">
        <v>0.4</v>
      </c>
      <c r="Z752" s="605">
        <f t="shared" si="141"/>
        <v>320000</v>
      </c>
      <c r="AA752" s="602">
        <f>T752-Z752</f>
        <v>480000</v>
      </c>
      <c r="AB752" s="605">
        <f t="shared" si="118"/>
        <v>480000</v>
      </c>
      <c r="AC752" s="607">
        <f t="shared" si="116"/>
        <v>160000</v>
      </c>
      <c r="AD752" s="266"/>
    </row>
    <row r="753" spans="1:30" ht="47.25" x14ac:dyDescent="0.25">
      <c r="A753" s="113">
        <v>750</v>
      </c>
      <c r="B753" s="22">
        <v>44050</v>
      </c>
      <c r="C753" s="148" t="s">
        <v>5450</v>
      </c>
      <c r="D753" s="148"/>
      <c r="E753" s="148" t="s">
        <v>2404</v>
      </c>
      <c r="F753" s="101" t="s">
        <v>5451</v>
      </c>
      <c r="G753" s="10"/>
      <c r="H753" s="101" t="s">
        <v>1177</v>
      </c>
      <c r="I753" s="148" t="s">
        <v>5452</v>
      </c>
      <c r="J753" s="10"/>
      <c r="K753" s="10"/>
      <c r="L753" s="19"/>
      <c r="M753" s="13"/>
      <c r="N753" s="249"/>
      <c r="O753" s="19" t="s">
        <v>4483</v>
      </c>
      <c r="P753" s="19"/>
      <c r="Q753" s="19"/>
      <c r="R753" s="13"/>
      <c r="S753" s="19"/>
      <c r="T753" s="19"/>
      <c r="U753" s="19"/>
      <c r="V753" s="19"/>
      <c r="W753" s="19"/>
      <c r="X753" s="19"/>
      <c r="Y753" s="19"/>
      <c r="Z753" s="605">
        <f t="shared" si="141"/>
        <v>0</v>
      </c>
      <c r="AA753" s="19"/>
      <c r="AB753" s="605">
        <f t="shared" si="118"/>
        <v>0</v>
      </c>
      <c r="AC753" s="607">
        <f t="shared" si="116"/>
        <v>0</v>
      </c>
      <c r="AD753" s="19"/>
    </row>
    <row r="754" spans="1:30" ht="47.25" x14ac:dyDescent="0.25">
      <c r="A754" s="74">
        <v>751</v>
      </c>
      <c r="B754" s="22">
        <v>44050</v>
      </c>
      <c r="C754" s="148" t="s">
        <v>5453</v>
      </c>
      <c r="D754" s="148" t="s">
        <v>2933</v>
      </c>
      <c r="E754" s="148" t="s">
        <v>3646</v>
      </c>
      <c r="F754" s="101" t="s">
        <v>5454</v>
      </c>
      <c r="G754" s="10"/>
      <c r="H754" s="101" t="s">
        <v>168</v>
      </c>
      <c r="I754" s="148" t="s">
        <v>5455</v>
      </c>
      <c r="J754" s="10"/>
      <c r="K754" s="10"/>
      <c r="L754" s="19"/>
      <c r="M754" s="13"/>
      <c r="N754" s="249"/>
      <c r="O754" s="633" t="s">
        <v>4933</v>
      </c>
      <c r="P754" s="633" t="s">
        <v>180</v>
      </c>
      <c r="Q754" s="19">
        <v>1000</v>
      </c>
      <c r="R754" s="13">
        <v>500000</v>
      </c>
      <c r="S754" s="19">
        <v>675000</v>
      </c>
      <c r="T754" s="247">
        <f>S754+R754</f>
        <v>1175000</v>
      </c>
      <c r="U754" s="19"/>
      <c r="V754" s="19"/>
      <c r="W754" s="19"/>
      <c r="X754" s="19"/>
      <c r="Y754" s="165">
        <v>0.4</v>
      </c>
      <c r="Z754" s="376">
        <f t="shared" si="141"/>
        <v>470000</v>
      </c>
      <c r="AA754" s="19"/>
      <c r="AB754" s="376">
        <f t="shared" si="118"/>
        <v>705000</v>
      </c>
      <c r="AC754" s="38">
        <f t="shared" si="116"/>
        <v>235000</v>
      </c>
      <c r="AD754" s="19" t="s">
        <v>5456</v>
      </c>
    </row>
    <row r="755" spans="1:30" ht="47.25" x14ac:dyDescent="0.25">
      <c r="A755" s="311">
        <v>752</v>
      </c>
      <c r="B755" s="22">
        <v>44050</v>
      </c>
      <c r="C755" s="148" t="s">
        <v>5367</v>
      </c>
      <c r="D755" s="148"/>
      <c r="E755" s="148" t="s">
        <v>4753</v>
      </c>
      <c r="F755" s="101" t="s">
        <v>5457</v>
      </c>
      <c r="G755" s="10"/>
      <c r="H755" s="101" t="s">
        <v>1639</v>
      </c>
      <c r="I755" s="148" t="s">
        <v>5458</v>
      </c>
      <c r="J755" s="10"/>
      <c r="K755" s="10"/>
      <c r="L755" s="19"/>
      <c r="M755" s="13"/>
      <c r="N755" s="249"/>
      <c r="O755" s="19" t="s">
        <v>4483</v>
      </c>
      <c r="P755" s="19"/>
      <c r="Q755" s="19"/>
      <c r="R755" s="13"/>
      <c r="S755" s="19"/>
      <c r="T755" s="19"/>
      <c r="U755" s="19"/>
      <c r="V755" s="19"/>
      <c r="W755" s="19"/>
      <c r="X755" s="19"/>
      <c r="Y755" s="19"/>
      <c r="Z755" s="605">
        <f t="shared" si="141"/>
        <v>0</v>
      </c>
      <c r="AA755" s="19"/>
      <c r="AB755" s="605">
        <f t="shared" si="118"/>
        <v>0</v>
      </c>
      <c r="AC755" s="607">
        <f t="shared" si="116"/>
        <v>0</v>
      </c>
      <c r="AD755" s="19"/>
    </row>
    <row r="756" spans="1:30" s="272" customFormat="1" ht="47.25" x14ac:dyDescent="0.25">
      <c r="A756" s="113">
        <v>753</v>
      </c>
      <c r="B756" s="373">
        <v>44050</v>
      </c>
      <c r="C756" s="358" t="s">
        <v>5460</v>
      </c>
      <c r="D756" s="358" t="s">
        <v>502</v>
      </c>
      <c r="E756" s="358" t="s">
        <v>3646</v>
      </c>
      <c r="F756" s="335" t="s">
        <v>5459</v>
      </c>
      <c r="G756" s="269"/>
      <c r="H756" s="335" t="s">
        <v>1639</v>
      </c>
      <c r="I756" s="358" t="s">
        <v>5461</v>
      </c>
      <c r="J756" s="269" t="s">
        <v>5462</v>
      </c>
      <c r="K756" s="269"/>
      <c r="L756" s="266"/>
      <c r="M756" s="278"/>
      <c r="N756" s="439"/>
      <c r="O756" s="649" t="s">
        <v>4918</v>
      </c>
      <c r="P756" s="649" t="s">
        <v>180</v>
      </c>
      <c r="Q756" s="508">
        <v>300</v>
      </c>
      <c r="R756" s="415">
        <v>500000</v>
      </c>
      <c r="S756" s="508">
        <v>300000</v>
      </c>
      <c r="T756" s="280">
        <f t="shared" ref="T756" si="150">R756+S756</f>
        <v>800000</v>
      </c>
      <c r="U756" s="266"/>
      <c r="V756" s="266"/>
      <c r="W756" s="266"/>
      <c r="X756" s="266"/>
      <c r="Y756" s="271">
        <v>0.4</v>
      </c>
      <c r="Z756" s="605">
        <f t="shared" si="141"/>
        <v>320000</v>
      </c>
      <c r="AA756" s="266"/>
      <c r="AB756" s="605">
        <f t="shared" si="118"/>
        <v>480000</v>
      </c>
      <c r="AC756" s="607">
        <f t="shared" si="116"/>
        <v>160000</v>
      </c>
      <c r="AD756" s="266"/>
    </row>
    <row r="757" spans="1:30" s="272" customFormat="1" ht="47.25" x14ac:dyDescent="0.25">
      <c r="A757" s="74">
        <v>754</v>
      </c>
      <c r="B757" s="373">
        <v>44050</v>
      </c>
      <c r="C757" s="358" t="s">
        <v>5464</v>
      </c>
      <c r="D757" s="358" t="s">
        <v>502</v>
      </c>
      <c r="E757" s="358" t="s">
        <v>3646</v>
      </c>
      <c r="F757" s="335" t="s">
        <v>5466</v>
      </c>
      <c r="G757" s="269"/>
      <c r="H757" s="335" t="s">
        <v>448</v>
      </c>
      <c r="I757" s="358" t="s">
        <v>5465</v>
      </c>
      <c r="J757" s="269" t="s">
        <v>5463</v>
      </c>
      <c r="K757" s="269"/>
      <c r="L757" s="266"/>
      <c r="M757" s="278"/>
      <c r="N757" s="439"/>
      <c r="O757" s="649" t="s">
        <v>4918</v>
      </c>
      <c r="P757" s="649" t="s">
        <v>180</v>
      </c>
      <c r="Q757" s="508">
        <v>300</v>
      </c>
      <c r="R757" s="415">
        <v>500000</v>
      </c>
      <c r="S757" s="508">
        <v>300000</v>
      </c>
      <c r="T757" s="280">
        <f t="shared" ref="T757" si="151">R757+S757</f>
        <v>800000</v>
      </c>
      <c r="U757" s="266"/>
      <c r="V757" s="266"/>
      <c r="W757" s="266"/>
      <c r="X757" s="266"/>
      <c r="Y757" s="266"/>
      <c r="Z757" s="605">
        <f t="shared" si="141"/>
        <v>0</v>
      </c>
      <c r="AA757" s="266"/>
      <c r="AB757" s="605">
        <f t="shared" si="118"/>
        <v>480000</v>
      </c>
      <c r="AC757" s="607">
        <f t="shared" si="116"/>
        <v>480000</v>
      </c>
      <c r="AD757" s="266"/>
    </row>
    <row r="758" spans="1:30" s="272" customFormat="1" ht="47.25" x14ac:dyDescent="0.25">
      <c r="A758" s="311">
        <v>755</v>
      </c>
      <c r="B758" s="373">
        <v>44051</v>
      </c>
      <c r="C758" s="358" t="s">
        <v>5467</v>
      </c>
      <c r="D758" s="358"/>
      <c r="E758" s="358" t="s">
        <v>3479</v>
      </c>
      <c r="F758" s="335" t="s">
        <v>5468</v>
      </c>
      <c r="G758" s="269"/>
      <c r="H758" s="335" t="s">
        <v>604</v>
      </c>
      <c r="I758" s="358" t="s">
        <v>5469</v>
      </c>
      <c r="J758" s="498" t="s">
        <v>5470</v>
      </c>
      <c r="K758" s="269"/>
      <c r="L758" s="266"/>
      <c r="M758" s="278"/>
      <c r="N758" s="439"/>
      <c r="O758" s="649" t="s">
        <v>4918</v>
      </c>
      <c r="P758" s="649" t="s">
        <v>180</v>
      </c>
      <c r="Q758" s="508">
        <v>300</v>
      </c>
      <c r="R758" s="415">
        <v>500000</v>
      </c>
      <c r="S758" s="508">
        <v>300000</v>
      </c>
      <c r="T758" s="280">
        <f t="shared" ref="T758" si="152">R758+S758</f>
        <v>800000</v>
      </c>
      <c r="U758" s="266"/>
      <c r="V758" s="266"/>
      <c r="W758" s="266"/>
      <c r="X758" s="266"/>
      <c r="Y758" s="271">
        <v>0.4</v>
      </c>
      <c r="Z758" s="605">
        <f t="shared" si="141"/>
        <v>320000</v>
      </c>
      <c r="AA758" s="266"/>
      <c r="AB758" s="605">
        <f t="shared" si="118"/>
        <v>480000</v>
      </c>
      <c r="AC758" s="607">
        <f t="shared" si="116"/>
        <v>160000</v>
      </c>
      <c r="AD758" s="266"/>
    </row>
    <row r="759" spans="1:30" s="272" customFormat="1" ht="47.25" x14ac:dyDescent="0.25">
      <c r="A759" s="113">
        <v>756</v>
      </c>
      <c r="B759" s="373">
        <v>44051</v>
      </c>
      <c r="C759" s="358" t="s">
        <v>5471</v>
      </c>
      <c r="D759" s="358"/>
      <c r="E759" s="358" t="s">
        <v>309</v>
      </c>
      <c r="F759" s="335" t="s">
        <v>5472</v>
      </c>
      <c r="G759" s="269"/>
      <c r="H759" s="335" t="s">
        <v>345</v>
      </c>
      <c r="I759" s="358" t="s">
        <v>5473</v>
      </c>
      <c r="J759" s="269"/>
      <c r="K759" s="380" t="s">
        <v>5474</v>
      </c>
      <c r="L759" s="266"/>
      <c r="M759" s="278"/>
      <c r="N759" s="439"/>
      <c r="O759" s="649" t="s">
        <v>4918</v>
      </c>
      <c r="P759" s="649" t="s">
        <v>180</v>
      </c>
      <c r="Q759" s="508">
        <v>300</v>
      </c>
      <c r="R759" s="415">
        <v>500000</v>
      </c>
      <c r="S759" s="508">
        <v>300000</v>
      </c>
      <c r="T759" s="280">
        <f t="shared" ref="T759" si="153">R759+S759</f>
        <v>800000</v>
      </c>
      <c r="U759" s="266"/>
      <c r="V759" s="266"/>
      <c r="W759" s="266"/>
      <c r="X759" s="266"/>
      <c r="Y759" s="271">
        <v>0.4</v>
      </c>
      <c r="Z759" s="605">
        <f t="shared" si="141"/>
        <v>320000</v>
      </c>
      <c r="AA759" s="266"/>
      <c r="AB759" s="605">
        <f t="shared" si="118"/>
        <v>480000</v>
      </c>
      <c r="AC759" s="607">
        <f t="shared" si="116"/>
        <v>160000</v>
      </c>
      <c r="AD759" s="266"/>
    </row>
    <row r="760" spans="1:30" ht="47.25" x14ac:dyDescent="0.25">
      <c r="A760" s="74">
        <v>757</v>
      </c>
      <c r="B760" s="22">
        <v>44051</v>
      </c>
      <c r="C760" s="148" t="s">
        <v>5475</v>
      </c>
      <c r="D760" s="148"/>
      <c r="E760" s="148" t="s">
        <v>2404</v>
      </c>
      <c r="F760" s="101" t="s">
        <v>5477</v>
      </c>
      <c r="G760" s="10"/>
      <c r="H760" s="101" t="s">
        <v>659</v>
      </c>
      <c r="I760" s="148" t="s">
        <v>5476</v>
      </c>
      <c r="J760" s="10"/>
      <c r="K760" s="10"/>
      <c r="L760" s="19"/>
      <c r="M760" s="13"/>
      <c r="N760" s="249"/>
      <c r="O760" s="19" t="s">
        <v>4576</v>
      </c>
      <c r="P760" s="19"/>
      <c r="Q760" s="19"/>
      <c r="R760" s="13"/>
      <c r="S760" s="19"/>
      <c r="T760" s="19"/>
      <c r="U760" s="19"/>
      <c r="V760" s="19"/>
      <c r="W760" s="19"/>
      <c r="X760" s="19"/>
      <c r="Y760" s="19"/>
      <c r="Z760" s="376">
        <f t="shared" si="141"/>
        <v>0</v>
      </c>
      <c r="AA760" s="19"/>
      <c r="AB760" s="376">
        <f t="shared" si="118"/>
        <v>0</v>
      </c>
      <c r="AC760" s="38">
        <f t="shared" ref="AC760:AC823" si="154">AB760-Z760</f>
        <v>0</v>
      </c>
      <c r="AD760" s="19"/>
    </row>
    <row r="761" spans="1:30" ht="47.25" x14ac:dyDescent="0.25">
      <c r="A761" s="311">
        <v>758</v>
      </c>
      <c r="B761" s="22">
        <v>44051</v>
      </c>
      <c r="C761" s="148" t="s">
        <v>5478</v>
      </c>
      <c r="D761" s="148"/>
      <c r="E761" s="148" t="s">
        <v>2404</v>
      </c>
      <c r="F761" s="101" t="s">
        <v>5480</v>
      </c>
      <c r="G761" s="10"/>
      <c r="H761" s="101" t="s">
        <v>1177</v>
      </c>
      <c r="I761" s="148" t="s">
        <v>5479</v>
      </c>
      <c r="J761" s="10"/>
      <c r="K761" s="10"/>
      <c r="L761" s="19"/>
      <c r="M761" s="13"/>
      <c r="N761" s="249"/>
      <c r="O761" s="19" t="s">
        <v>4576</v>
      </c>
      <c r="P761" s="19"/>
      <c r="Q761" s="19"/>
      <c r="R761" s="13"/>
      <c r="S761" s="19"/>
      <c r="T761" s="19"/>
      <c r="U761" s="19"/>
      <c r="V761" s="19"/>
      <c r="W761" s="19"/>
      <c r="X761" s="19"/>
      <c r="Y761" s="19"/>
      <c r="Z761" s="376">
        <f t="shared" si="141"/>
        <v>0</v>
      </c>
      <c r="AA761" s="19"/>
      <c r="AB761" s="376">
        <f t="shared" si="118"/>
        <v>0</v>
      </c>
      <c r="AC761" s="38">
        <f t="shared" si="154"/>
        <v>0</v>
      </c>
      <c r="AD761" s="19"/>
    </row>
    <row r="762" spans="1:30" ht="47.25" x14ac:dyDescent="0.25">
      <c r="A762" s="113">
        <v>759</v>
      </c>
      <c r="B762" s="22">
        <v>44051</v>
      </c>
      <c r="C762" s="148" t="s">
        <v>5422</v>
      </c>
      <c r="D762" s="148"/>
      <c r="E762" s="148" t="s">
        <v>4753</v>
      </c>
      <c r="F762" s="101" t="s">
        <v>5482</v>
      </c>
      <c r="G762" s="10"/>
      <c r="H762" s="101" t="s">
        <v>5425</v>
      </c>
      <c r="I762" s="148" t="s">
        <v>5483</v>
      </c>
      <c r="J762" s="157" t="s">
        <v>5481</v>
      </c>
      <c r="K762" s="10"/>
      <c r="L762" s="19"/>
      <c r="M762" s="13"/>
      <c r="N762" s="249"/>
      <c r="O762" s="19" t="s">
        <v>4576</v>
      </c>
      <c r="P762" s="19"/>
      <c r="Q762" s="19"/>
      <c r="R762" s="13"/>
      <c r="S762" s="19"/>
      <c r="T762" s="19"/>
      <c r="U762" s="19"/>
      <c r="V762" s="19"/>
      <c r="W762" s="19"/>
      <c r="X762" s="19"/>
      <c r="Y762" s="19"/>
      <c r="Z762" s="605">
        <f t="shared" si="141"/>
        <v>0</v>
      </c>
      <c r="AA762" s="19"/>
      <c r="AB762" s="605">
        <f t="shared" si="118"/>
        <v>0</v>
      </c>
      <c r="AC762" s="607">
        <f t="shared" si="154"/>
        <v>0</v>
      </c>
      <c r="AD762" s="19"/>
    </row>
    <row r="763" spans="1:30" s="272" customFormat="1" ht="47.25" x14ac:dyDescent="0.25">
      <c r="A763" s="74">
        <v>760</v>
      </c>
      <c r="B763" s="373">
        <v>44051</v>
      </c>
      <c r="C763" s="358" t="s">
        <v>5485</v>
      </c>
      <c r="D763" s="358"/>
      <c r="E763" s="358" t="s">
        <v>3479</v>
      </c>
      <c r="F763" s="335" t="s">
        <v>5484</v>
      </c>
      <c r="G763" s="269"/>
      <c r="H763" s="335" t="s">
        <v>659</v>
      </c>
      <c r="I763" s="358" t="s">
        <v>5486</v>
      </c>
      <c r="J763" s="269"/>
      <c r="K763" s="269"/>
      <c r="L763" s="266"/>
      <c r="M763" s="278"/>
      <c r="N763" s="439"/>
      <c r="O763" s="649" t="s">
        <v>4918</v>
      </c>
      <c r="P763" s="649" t="s">
        <v>180</v>
      </c>
      <c r="Q763" s="508">
        <v>300</v>
      </c>
      <c r="R763" s="415">
        <v>500000</v>
      </c>
      <c r="S763" s="508">
        <v>300000</v>
      </c>
      <c r="T763" s="280">
        <f t="shared" ref="T763" si="155">R763+S763</f>
        <v>800000</v>
      </c>
      <c r="U763" s="266"/>
      <c r="V763" s="266"/>
      <c r="W763" s="266"/>
      <c r="X763" s="266"/>
      <c r="Y763" s="271">
        <v>0.4</v>
      </c>
      <c r="Z763" s="605">
        <f t="shared" si="141"/>
        <v>320000</v>
      </c>
      <c r="AA763" s="266"/>
      <c r="AB763" s="605">
        <f t="shared" si="118"/>
        <v>480000</v>
      </c>
      <c r="AC763" s="607">
        <f t="shared" si="154"/>
        <v>160000</v>
      </c>
      <c r="AD763" s="266"/>
    </row>
    <row r="764" spans="1:30" s="272" customFormat="1" ht="47.25" x14ac:dyDescent="0.25">
      <c r="A764" s="311">
        <v>761</v>
      </c>
      <c r="B764" s="373">
        <v>44051</v>
      </c>
      <c r="C764" s="358" t="s">
        <v>5487</v>
      </c>
      <c r="D764" s="358" t="s">
        <v>3657</v>
      </c>
      <c r="E764" s="358" t="s">
        <v>3646</v>
      </c>
      <c r="F764" s="335" t="s">
        <v>5489</v>
      </c>
      <c r="G764" s="269"/>
      <c r="H764" s="335" t="s">
        <v>1772</v>
      </c>
      <c r="I764" s="358" t="s">
        <v>5488</v>
      </c>
      <c r="J764" s="269"/>
      <c r="K764" s="269"/>
      <c r="L764" s="266"/>
      <c r="M764" s="278"/>
      <c r="N764" s="439"/>
      <c r="O764" s="649" t="s">
        <v>4918</v>
      </c>
      <c r="P764" s="649" t="s">
        <v>180</v>
      </c>
      <c r="Q764" s="508">
        <v>300</v>
      </c>
      <c r="R764" s="415">
        <v>500000</v>
      </c>
      <c r="S764" s="508">
        <v>300000</v>
      </c>
      <c r="T764" s="280">
        <f t="shared" ref="T764" si="156">R764+S764</f>
        <v>800000</v>
      </c>
      <c r="U764" s="266"/>
      <c r="V764" s="266"/>
      <c r="W764" s="266"/>
      <c r="X764" s="266"/>
      <c r="Y764" s="271">
        <v>0.4</v>
      </c>
      <c r="Z764" s="605">
        <f t="shared" si="141"/>
        <v>320000</v>
      </c>
      <c r="AA764" s="266"/>
      <c r="AB764" s="605">
        <f t="shared" ref="AB764:AB801" si="157">T764*0.6</f>
        <v>480000</v>
      </c>
      <c r="AC764" s="607">
        <f t="shared" si="154"/>
        <v>160000</v>
      </c>
      <c r="AD764" s="266"/>
    </row>
    <row r="765" spans="1:30" s="272" customFormat="1" ht="47.25" x14ac:dyDescent="0.25">
      <c r="A765" s="113">
        <v>762</v>
      </c>
      <c r="B765" s="373">
        <v>44051</v>
      </c>
      <c r="C765" s="358" t="s">
        <v>5491</v>
      </c>
      <c r="D765" s="358"/>
      <c r="E765" s="358" t="s">
        <v>309</v>
      </c>
      <c r="F765" s="335" t="s">
        <v>5490</v>
      </c>
      <c r="G765" s="269"/>
      <c r="H765" s="335" t="s">
        <v>353</v>
      </c>
      <c r="I765" s="358" t="s">
        <v>5492</v>
      </c>
      <c r="J765" s="269"/>
      <c r="K765" s="269"/>
      <c r="L765" s="266"/>
      <c r="M765" s="278"/>
      <c r="N765" s="439"/>
      <c r="O765" s="649" t="s">
        <v>4918</v>
      </c>
      <c r="P765" s="649" t="s">
        <v>180</v>
      </c>
      <c r="Q765" s="508">
        <v>300</v>
      </c>
      <c r="R765" s="415">
        <v>500000</v>
      </c>
      <c r="S765" s="508">
        <v>300000</v>
      </c>
      <c r="T765" s="280">
        <f t="shared" ref="T765" si="158">R765+S765</f>
        <v>800000</v>
      </c>
      <c r="U765" s="266"/>
      <c r="V765" s="266"/>
      <c r="W765" s="266"/>
      <c r="X765" s="266"/>
      <c r="Y765" s="271">
        <v>0.4</v>
      </c>
      <c r="Z765" s="605">
        <f t="shared" si="141"/>
        <v>320000</v>
      </c>
      <c r="AA765" s="266"/>
      <c r="AB765" s="605">
        <f t="shared" si="157"/>
        <v>480000</v>
      </c>
      <c r="AC765" s="607">
        <f t="shared" si="154"/>
        <v>160000</v>
      </c>
      <c r="AD765" s="266"/>
    </row>
    <row r="766" spans="1:30" ht="47.25" x14ac:dyDescent="0.25">
      <c r="A766" s="74">
        <v>763</v>
      </c>
      <c r="B766" s="22">
        <v>44051</v>
      </c>
      <c r="C766" s="148" t="s">
        <v>5493</v>
      </c>
      <c r="D766" s="148"/>
      <c r="E766" s="148" t="s">
        <v>2404</v>
      </c>
      <c r="F766" s="101" t="s">
        <v>5494</v>
      </c>
      <c r="G766" s="10"/>
      <c r="H766" s="101" t="s">
        <v>1177</v>
      </c>
      <c r="I766" s="148" t="s">
        <v>5495</v>
      </c>
      <c r="J766" s="10"/>
      <c r="K766" s="10"/>
      <c r="L766" s="19"/>
      <c r="M766" s="13"/>
      <c r="N766" s="249"/>
      <c r="O766" s="19" t="s">
        <v>4576</v>
      </c>
      <c r="P766" s="19"/>
      <c r="Q766" s="19"/>
      <c r="R766" s="13"/>
      <c r="S766" s="19"/>
      <c r="T766" s="19"/>
      <c r="U766" s="19"/>
      <c r="V766" s="19"/>
      <c r="W766" s="19"/>
      <c r="X766" s="19"/>
      <c r="Y766" s="19"/>
      <c r="Z766" s="376">
        <f t="shared" si="141"/>
        <v>0</v>
      </c>
      <c r="AA766" s="19"/>
      <c r="AB766" s="376">
        <f t="shared" si="157"/>
        <v>0</v>
      </c>
      <c r="AC766" s="38">
        <f t="shared" si="154"/>
        <v>0</v>
      </c>
      <c r="AD766" s="19"/>
    </row>
    <row r="767" spans="1:30" ht="63" x14ac:dyDescent="0.25">
      <c r="A767" s="311">
        <v>764</v>
      </c>
      <c r="B767" s="22">
        <v>44051</v>
      </c>
      <c r="C767" s="148" t="s">
        <v>5496</v>
      </c>
      <c r="D767" s="148"/>
      <c r="E767" s="148" t="s">
        <v>2404</v>
      </c>
      <c r="F767" s="101" t="s">
        <v>5498</v>
      </c>
      <c r="G767" s="10"/>
      <c r="H767" s="101" t="s">
        <v>1177</v>
      </c>
      <c r="I767" s="148" t="s">
        <v>5497</v>
      </c>
      <c r="J767" s="10"/>
      <c r="K767" s="10"/>
      <c r="L767" s="19"/>
      <c r="M767" s="13"/>
      <c r="N767" s="249"/>
      <c r="O767" s="19" t="s">
        <v>4576</v>
      </c>
      <c r="P767" s="19"/>
      <c r="Q767" s="19"/>
      <c r="R767" s="13"/>
      <c r="S767" s="19"/>
      <c r="T767" s="19"/>
      <c r="U767" s="19"/>
      <c r="V767" s="19"/>
      <c r="W767" s="19"/>
      <c r="X767" s="19"/>
      <c r="Y767" s="19"/>
      <c r="Z767" s="605">
        <f t="shared" si="141"/>
        <v>0</v>
      </c>
      <c r="AA767" s="19"/>
      <c r="AB767" s="605">
        <f t="shared" si="157"/>
        <v>0</v>
      </c>
      <c r="AC767" s="607">
        <f t="shared" si="154"/>
        <v>0</v>
      </c>
      <c r="AD767" s="19"/>
    </row>
    <row r="768" spans="1:30" s="272" customFormat="1" ht="63" x14ac:dyDescent="0.25">
      <c r="A768" s="113">
        <v>765</v>
      </c>
      <c r="B768" s="373">
        <v>44051</v>
      </c>
      <c r="C768" s="358" t="s">
        <v>5499</v>
      </c>
      <c r="D768" s="358"/>
      <c r="E768" s="358" t="s">
        <v>3479</v>
      </c>
      <c r="F768" s="335" t="s">
        <v>5501</v>
      </c>
      <c r="G768" s="269"/>
      <c r="H768" s="335" t="s">
        <v>1639</v>
      </c>
      <c r="I768" s="358" t="s">
        <v>5500</v>
      </c>
      <c r="J768" s="269"/>
      <c r="K768" s="269"/>
      <c r="L768" s="266"/>
      <c r="M768" s="278"/>
      <c r="N768" s="439"/>
      <c r="O768" s="649" t="s">
        <v>4918</v>
      </c>
      <c r="P768" s="649" t="s">
        <v>180</v>
      </c>
      <c r="Q768" s="508">
        <v>300</v>
      </c>
      <c r="R768" s="415">
        <v>500000</v>
      </c>
      <c r="S768" s="508">
        <v>300000</v>
      </c>
      <c r="T768" s="280">
        <f t="shared" ref="T768" si="159">R768+S768</f>
        <v>800000</v>
      </c>
      <c r="U768" s="266"/>
      <c r="V768" s="266"/>
      <c r="W768" s="266"/>
      <c r="X768" s="266"/>
      <c r="Y768" s="271">
        <v>0.4</v>
      </c>
      <c r="Z768" s="605">
        <f t="shared" si="141"/>
        <v>320000</v>
      </c>
      <c r="AA768" s="266"/>
      <c r="AB768" s="605">
        <f t="shared" si="157"/>
        <v>480000</v>
      </c>
      <c r="AC768" s="607">
        <f t="shared" si="154"/>
        <v>160000</v>
      </c>
      <c r="AD768" s="266"/>
    </row>
    <row r="769" spans="1:30" s="272" customFormat="1" ht="47.25" x14ac:dyDescent="0.25">
      <c r="A769" s="74">
        <v>766</v>
      </c>
      <c r="B769" s="373">
        <v>44053</v>
      </c>
      <c r="C769" s="358" t="s">
        <v>5503</v>
      </c>
      <c r="D769" s="358"/>
      <c r="E769" s="358"/>
      <c r="F769" s="335" t="s">
        <v>5504</v>
      </c>
      <c r="G769" s="269"/>
      <c r="H769" s="335"/>
      <c r="I769" s="358" t="s">
        <v>5505</v>
      </c>
      <c r="J769" s="269"/>
      <c r="K769" s="269"/>
      <c r="L769" s="266"/>
      <c r="M769" s="278"/>
      <c r="N769" s="439"/>
      <c r="O769" s="649" t="s">
        <v>4918</v>
      </c>
      <c r="P769" s="649" t="s">
        <v>180</v>
      </c>
      <c r="Q769" s="508">
        <v>300</v>
      </c>
      <c r="R769" s="415">
        <v>500000</v>
      </c>
      <c r="S769" s="508">
        <v>300000</v>
      </c>
      <c r="T769" s="280">
        <f t="shared" ref="T769" si="160">R769+S769</f>
        <v>800000</v>
      </c>
      <c r="U769" s="266"/>
      <c r="V769" s="266"/>
      <c r="W769" s="266"/>
      <c r="X769" s="266"/>
      <c r="Y769" s="271">
        <v>0.4</v>
      </c>
      <c r="Z769" s="605">
        <f t="shared" si="141"/>
        <v>320000</v>
      </c>
      <c r="AA769" s="266"/>
      <c r="AB769" s="605">
        <f t="shared" si="157"/>
        <v>480000</v>
      </c>
      <c r="AC769" s="607">
        <f t="shared" si="154"/>
        <v>160000</v>
      </c>
      <c r="AD769" s="266"/>
    </row>
    <row r="770" spans="1:30" s="272" customFormat="1" ht="63" x14ac:dyDescent="0.25">
      <c r="A770" s="311">
        <v>767</v>
      </c>
      <c r="B770" s="373">
        <v>44054</v>
      </c>
      <c r="C770" s="358" t="s">
        <v>5506</v>
      </c>
      <c r="D770" s="358" t="s">
        <v>502</v>
      </c>
      <c r="E770" s="358" t="s">
        <v>3646</v>
      </c>
      <c r="F770" s="335" t="s">
        <v>5325</v>
      </c>
      <c r="G770" s="269"/>
      <c r="H770" s="335" t="s">
        <v>273</v>
      </c>
      <c r="I770" s="358" t="s">
        <v>5326</v>
      </c>
      <c r="J770" s="269" t="s">
        <v>5507</v>
      </c>
      <c r="K770" s="269"/>
      <c r="L770" s="266"/>
      <c r="M770" s="278"/>
      <c r="N770" s="439"/>
      <c r="O770" s="649" t="s">
        <v>4918</v>
      </c>
      <c r="P770" s="649" t="s">
        <v>180</v>
      </c>
      <c r="Q770" s="508">
        <v>300</v>
      </c>
      <c r="R770" s="415">
        <v>500000</v>
      </c>
      <c r="S770" s="508">
        <v>300000</v>
      </c>
      <c r="T770" s="280">
        <f t="shared" ref="T770" si="161">R770+S770</f>
        <v>800000</v>
      </c>
      <c r="U770" s="266"/>
      <c r="V770" s="266"/>
      <c r="W770" s="266"/>
      <c r="X770" s="266"/>
      <c r="Y770" s="271"/>
      <c r="Z770" s="605">
        <f t="shared" si="141"/>
        <v>0</v>
      </c>
      <c r="AA770" s="266"/>
      <c r="AB770" s="605">
        <f t="shared" si="157"/>
        <v>480000</v>
      </c>
      <c r="AC770" s="607">
        <f t="shared" si="154"/>
        <v>480000</v>
      </c>
      <c r="AD770" s="266"/>
    </row>
    <row r="771" spans="1:30" s="272" customFormat="1" ht="47.25" x14ac:dyDescent="0.25">
      <c r="A771" s="113">
        <v>768</v>
      </c>
      <c r="B771" s="373">
        <v>44054</v>
      </c>
      <c r="C771" s="358" t="s">
        <v>5508</v>
      </c>
      <c r="D771" s="358"/>
      <c r="E771" s="358" t="s">
        <v>309</v>
      </c>
      <c r="F771" s="335" t="s">
        <v>5510</v>
      </c>
      <c r="G771" s="269"/>
      <c r="H771" s="335" t="s">
        <v>168</v>
      </c>
      <c r="I771" s="358" t="s">
        <v>5509</v>
      </c>
      <c r="J771" s="269"/>
      <c r="K771" s="269"/>
      <c r="L771" s="266"/>
      <c r="M771" s="278"/>
      <c r="N771" s="439"/>
      <c r="O771" s="649" t="s">
        <v>4918</v>
      </c>
      <c r="P771" s="649" t="s">
        <v>180</v>
      </c>
      <c r="Q771" s="508">
        <v>300</v>
      </c>
      <c r="R771" s="415">
        <v>500000</v>
      </c>
      <c r="S771" s="508">
        <v>300000</v>
      </c>
      <c r="T771" s="280">
        <f t="shared" ref="T771" si="162">R771+S771</f>
        <v>800000</v>
      </c>
      <c r="U771" s="266"/>
      <c r="V771" s="266"/>
      <c r="W771" s="266"/>
      <c r="X771" s="266"/>
      <c r="Y771" s="271">
        <v>0.35</v>
      </c>
      <c r="Z771" s="605">
        <f t="shared" si="141"/>
        <v>280000</v>
      </c>
      <c r="AA771" s="266"/>
      <c r="AB771" s="605">
        <f t="shared" si="157"/>
        <v>480000</v>
      </c>
      <c r="AC771" s="607">
        <f t="shared" si="154"/>
        <v>200000</v>
      </c>
      <c r="AD771" s="266"/>
    </row>
    <row r="772" spans="1:30" ht="47.25" x14ac:dyDescent="0.25">
      <c r="A772" s="74">
        <v>769</v>
      </c>
      <c r="B772" s="22">
        <v>44054</v>
      </c>
      <c r="C772" s="148" t="s">
        <v>5511</v>
      </c>
      <c r="D772" s="148"/>
      <c r="E772" s="148" t="s">
        <v>2404</v>
      </c>
      <c r="F772" s="101" t="s">
        <v>5512</v>
      </c>
      <c r="G772" s="10"/>
      <c r="H772" s="101" t="s">
        <v>1177</v>
      </c>
      <c r="I772" s="148" t="s">
        <v>5513</v>
      </c>
      <c r="J772" s="10"/>
      <c r="K772" s="10"/>
      <c r="L772" s="19"/>
      <c r="M772" s="13"/>
      <c r="N772" s="249"/>
      <c r="O772" s="19" t="s">
        <v>4576</v>
      </c>
      <c r="P772" s="19"/>
      <c r="Q772" s="19"/>
      <c r="R772" s="13"/>
      <c r="S772" s="19"/>
      <c r="T772" s="19"/>
      <c r="U772" s="19"/>
      <c r="V772" s="19"/>
      <c r="W772" s="19"/>
      <c r="X772" s="19"/>
      <c r="Y772" s="19"/>
      <c r="Z772" s="376">
        <f t="shared" si="141"/>
        <v>0</v>
      </c>
      <c r="AA772" s="19"/>
      <c r="AB772" s="376">
        <f t="shared" si="157"/>
        <v>0</v>
      </c>
      <c r="AC772" s="38">
        <f t="shared" si="154"/>
        <v>0</v>
      </c>
      <c r="AD772" s="19"/>
    </row>
    <row r="773" spans="1:30" ht="47.25" x14ac:dyDescent="0.25">
      <c r="A773" s="311">
        <v>770</v>
      </c>
      <c r="B773" s="22">
        <v>44054</v>
      </c>
      <c r="C773" s="148" t="s">
        <v>5514</v>
      </c>
      <c r="D773" s="148"/>
      <c r="E773" s="148" t="s">
        <v>2404</v>
      </c>
      <c r="F773" s="101" t="s">
        <v>5515</v>
      </c>
      <c r="G773" s="10"/>
      <c r="H773" s="101" t="s">
        <v>1177</v>
      </c>
      <c r="I773" s="148" t="s">
        <v>5516</v>
      </c>
      <c r="J773" s="10"/>
      <c r="K773" s="10"/>
      <c r="L773" s="19"/>
      <c r="M773" s="13"/>
      <c r="N773" s="249"/>
      <c r="O773" s="19" t="s">
        <v>4576</v>
      </c>
      <c r="P773" s="19"/>
      <c r="Q773" s="19"/>
      <c r="R773" s="13"/>
      <c r="S773" s="19"/>
      <c r="T773" s="19"/>
      <c r="U773" s="19"/>
      <c r="V773" s="19"/>
      <c r="W773" s="19"/>
      <c r="X773" s="19"/>
      <c r="Y773" s="19"/>
      <c r="Z773" s="376">
        <f t="shared" si="141"/>
        <v>0</v>
      </c>
      <c r="AA773" s="19"/>
      <c r="AB773" s="376">
        <f t="shared" si="157"/>
        <v>0</v>
      </c>
      <c r="AC773" s="38">
        <f t="shared" si="154"/>
        <v>0</v>
      </c>
      <c r="AD773" s="19"/>
    </row>
    <row r="774" spans="1:30" s="272" customFormat="1" ht="47.25" x14ac:dyDescent="0.25">
      <c r="A774" s="113">
        <v>771</v>
      </c>
      <c r="B774" s="373">
        <v>44054</v>
      </c>
      <c r="C774" s="358" t="s">
        <v>5517</v>
      </c>
      <c r="D774" s="358"/>
      <c r="E774" s="358" t="s">
        <v>2404</v>
      </c>
      <c r="F774" s="335" t="s">
        <v>5518</v>
      </c>
      <c r="G774" s="269"/>
      <c r="H774" s="335" t="s">
        <v>1177</v>
      </c>
      <c r="I774" s="358" t="s">
        <v>5519</v>
      </c>
      <c r="J774" s="269"/>
      <c r="K774" s="269"/>
      <c r="L774" s="266"/>
      <c r="M774" s="278"/>
      <c r="N774" s="439"/>
      <c r="O774" s="649" t="s">
        <v>4918</v>
      </c>
      <c r="P774" s="649" t="s">
        <v>94</v>
      </c>
      <c r="Q774" s="508">
        <v>300</v>
      </c>
      <c r="R774" s="415"/>
      <c r="S774" s="508">
        <v>300000</v>
      </c>
      <c r="T774" s="280">
        <f t="shared" ref="T774" si="163">R774+S774</f>
        <v>300000</v>
      </c>
      <c r="U774" s="266"/>
      <c r="V774" s="266"/>
      <c r="W774" s="266"/>
      <c r="X774" s="266"/>
      <c r="Y774" s="271">
        <v>0.4</v>
      </c>
      <c r="Z774" s="605">
        <f t="shared" si="141"/>
        <v>120000</v>
      </c>
      <c r="AA774" s="266"/>
      <c r="AB774" s="605">
        <f t="shared" si="157"/>
        <v>180000</v>
      </c>
      <c r="AC774" s="607">
        <f t="shared" si="154"/>
        <v>60000</v>
      </c>
      <c r="AD774" s="266"/>
    </row>
    <row r="775" spans="1:30" ht="63" x14ac:dyDescent="0.25">
      <c r="A775" s="74">
        <v>772</v>
      </c>
      <c r="B775" s="22">
        <v>44054</v>
      </c>
      <c r="C775" s="148" t="s">
        <v>5520</v>
      </c>
      <c r="D775" s="148"/>
      <c r="E775" s="148" t="s">
        <v>3479</v>
      </c>
      <c r="F775" s="101" t="s">
        <v>5522</v>
      </c>
      <c r="G775" s="10"/>
      <c r="H775" s="101" t="s">
        <v>168</v>
      </c>
      <c r="I775" s="148" t="s">
        <v>5521</v>
      </c>
      <c r="J775" s="10"/>
      <c r="K775" s="10"/>
      <c r="L775" s="19"/>
      <c r="M775" s="13"/>
      <c r="N775" s="249"/>
      <c r="O775" s="19" t="s">
        <v>4576</v>
      </c>
      <c r="P775" s="19"/>
      <c r="Q775" s="19"/>
      <c r="R775" s="13"/>
      <c r="S775" s="19"/>
      <c r="T775" s="19"/>
      <c r="U775" s="19"/>
      <c r="V775" s="19"/>
      <c r="W775" s="19"/>
      <c r="X775" s="19"/>
      <c r="Y775" s="19"/>
      <c r="Z775" s="376">
        <f t="shared" si="141"/>
        <v>0</v>
      </c>
      <c r="AA775" s="19"/>
      <c r="AB775" s="376">
        <f t="shared" si="157"/>
        <v>0</v>
      </c>
      <c r="AC775" s="38">
        <f t="shared" si="154"/>
        <v>0</v>
      </c>
      <c r="AD775" s="19"/>
    </row>
    <row r="776" spans="1:30" ht="47.25" x14ac:dyDescent="0.25">
      <c r="A776" s="311">
        <v>773</v>
      </c>
      <c r="B776" s="22">
        <v>44054</v>
      </c>
      <c r="C776" s="148" t="s">
        <v>5517</v>
      </c>
      <c r="D776" s="148"/>
      <c r="E776" s="148" t="s">
        <v>2404</v>
      </c>
      <c r="F776" s="101" t="s">
        <v>5518</v>
      </c>
      <c r="G776" s="10"/>
      <c r="H776" s="101" t="s">
        <v>1177</v>
      </c>
      <c r="I776" s="148" t="s">
        <v>5519</v>
      </c>
      <c r="J776" s="10"/>
      <c r="K776" s="10"/>
      <c r="L776" s="19"/>
      <c r="M776" s="13"/>
      <c r="N776" s="249"/>
      <c r="O776" s="19" t="s">
        <v>4576</v>
      </c>
      <c r="P776" s="19"/>
      <c r="Q776" s="19"/>
      <c r="R776" s="13"/>
      <c r="S776" s="19"/>
      <c r="T776" s="19"/>
      <c r="U776" s="19"/>
      <c r="V776" s="19"/>
      <c r="W776" s="19"/>
      <c r="X776" s="19"/>
      <c r="Y776" s="19"/>
      <c r="Z776" s="376">
        <f t="shared" si="141"/>
        <v>0</v>
      </c>
      <c r="AA776" s="19"/>
      <c r="AB776" s="376">
        <f t="shared" si="157"/>
        <v>0</v>
      </c>
      <c r="AC776" s="38">
        <f t="shared" si="154"/>
        <v>0</v>
      </c>
      <c r="AD776" s="19"/>
    </row>
    <row r="777" spans="1:30" ht="47.25" x14ac:dyDescent="0.25">
      <c r="A777" s="113">
        <v>774</v>
      </c>
      <c r="B777" s="22">
        <v>44054</v>
      </c>
      <c r="C777" s="148" t="s">
        <v>5523</v>
      </c>
      <c r="D777" s="148"/>
      <c r="E777" s="148" t="s">
        <v>2404</v>
      </c>
      <c r="F777" s="101" t="s">
        <v>5524</v>
      </c>
      <c r="G777" s="10"/>
      <c r="H777" s="101" t="s">
        <v>1177</v>
      </c>
      <c r="I777" s="148" t="s">
        <v>5525</v>
      </c>
      <c r="J777" s="10"/>
      <c r="K777" s="10"/>
      <c r="L777" s="19"/>
      <c r="M777" s="13"/>
      <c r="N777" s="249"/>
      <c r="O777" s="19" t="s">
        <v>4576</v>
      </c>
      <c r="P777" s="19"/>
      <c r="Q777" s="19"/>
      <c r="R777" s="13"/>
      <c r="S777" s="19"/>
      <c r="T777" s="19"/>
      <c r="U777" s="19"/>
      <c r="V777" s="19"/>
      <c r="W777" s="19"/>
      <c r="X777" s="19"/>
      <c r="Y777" s="19"/>
      <c r="Z777" s="376">
        <f t="shared" si="141"/>
        <v>0</v>
      </c>
      <c r="AA777" s="19"/>
      <c r="AB777" s="376">
        <f t="shared" si="157"/>
        <v>0</v>
      </c>
      <c r="AC777" s="38">
        <f t="shared" si="154"/>
        <v>0</v>
      </c>
      <c r="AD777" s="19"/>
    </row>
    <row r="778" spans="1:30" ht="63" x14ac:dyDescent="0.25">
      <c r="A778" s="74">
        <v>775</v>
      </c>
      <c r="B778" s="22">
        <v>44054</v>
      </c>
      <c r="C778" s="148" t="s">
        <v>5526</v>
      </c>
      <c r="D778" s="148"/>
      <c r="E778" s="148" t="s">
        <v>2404</v>
      </c>
      <c r="F778" s="101" t="s">
        <v>5527</v>
      </c>
      <c r="G778" s="10"/>
      <c r="H778" s="101" t="s">
        <v>1177</v>
      </c>
      <c r="I778" s="148" t="s">
        <v>5528</v>
      </c>
      <c r="J778" s="10"/>
      <c r="K778" s="10"/>
      <c r="L778" s="19"/>
      <c r="M778" s="13"/>
      <c r="N778" s="249"/>
      <c r="O778" s="19" t="s">
        <v>4576</v>
      </c>
      <c r="P778" s="19"/>
      <c r="Q778" s="19"/>
      <c r="R778" s="13"/>
      <c r="S778" s="19"/>
      <c r="T778" s="19"/>
      <c r="U778" s="19"/>
      <c r="V778" s="19"/>
      <c r="W778" s="19"/>
      <c r="X778" s="19"/>
      <c r="Y778" s="19"/>
      <c r="Z778" s="376">
        <f t="shared" si="141"/>
        <v>0</v>
      </c>
      <c r="AA778" s="19"/>
      <c r="AB778" s="376">
        <f t="shared" si="157"/>
        <v>0</v>
      </c>
      <c r="AC778" s="38">
        <f t="shared" si="154"/>
        <v>0</v>
      </c>
      <c r="AD778" s="19"/>
    </row>
    <row r="779" spans="1:30" ht="47.25" x14ac:dyDescent="0.25">
      <c r="A779" s="311">
        <v>776</v>
      </c>
      <c r="B779" s="22">
        <v>44054</v>
      </c>
      <c r="C779" s="148" t="s">
        <v>5529</v>
      </c>
      <c r="D779" s="148"/>
      <c r="E779" s="148" t="s">
        <v>2404</v>
      </c>
      <c r="F779" s="101" t="s">
        <v>5512</v>
      </c>
      <c r="G779" s="10"/>
      <c r="H779" s="101" t="s">
        <v>1177</v>
      </c>
      <c r="I779" s="148" t="s">
        <v>5513</v>
      </c>
      <c r="J779" s="10"/>
      <c r="K779" s="10"/>
      <c r="L779" s="19"/>
      <c r="M779" s="13"/>
      <c r="N779" s="249"/>
      <c r="O779" s="19" t="s">
        <v>4576</v>
      </c>
      <c r="P779" s="19"/>
      <c r="Q779" s="19"/>
      <c r="R779" s="13"/>
      <c r="S779" s="19"/>
      <c r="T779" s="19"/>
      <c r="U779" s="19"/>
      <c r="V779" s="19"/>
      <c r="W779" s="19"/>
      <c r="X779" s="19"/>
      <c r="Y779" s="19"/>
      <c r="Z779" s="376">
        <f t="shared" si="141"/>
        <v>0</v>
      </c>
      <c r="AA779" s="19"/>
      <c r="AB779" s="376">
        <f t="shared" si="157"/>
        <v>0</v>
      </c>
      <c r="AC779" s="38">
        <f t="shared" si="154"/>
        <v>0</v>
      </c>
      <c r="AD779" s="19"/>
    </row>
    <row r="780" spans="1:30" ht="47.25" x14ac:dyDescent="0.25">
      <c r="A780" s="113">
        <v>777</v>
      </c>
      <c r="B780" s="22">
        <v>44054</v>
      </c>
      <c r="C780" s="148" t="s">
        <v>5530</v>
      </c>
      <c r="D780" s="148" t="s">
        <v>4125</v>
      </c>
      <c r="E780" s="148" t="s">
        <v>3479</v>
      </c>
      <c r="F780" s="101" t="s">
        <v>5468</v>
      </c>
      <c r="G780" s="269"/>
      <c r="H780" s="101" t="s">
        <v>604</v>
      </c>
      <c r="I780" s="148" t="s">
        <v>5469</v>
      </c>
      <c r="J780" s="37" t="s">
        <v>5470</v>
      </c>
      <c r="K780" s="10"/>
      <c r="L780" s="19"/>
      <c r="M780" s="278"/>
      <c r="N780" s="249"/>
      <c r="O780" s="693" t="s">
        <v>4918</v>
      </c>
      <c r="P780" s="693" t="s">
        <v>180</v>
      </c>
      <c r="Q780" s="365">
        <v>300</v>
      </c>
      <c r="R780" s="364">
        <v>500000</v>
      </c>
      <c r="S780" s="365">
        <v>300000</v>
      </c>
      <c r="T780" s="219">
        <f t="shared" ref="T780" si="164">R780+S780</f>
        <v>800000</v>
      </c>
      <c r="U780" s="266"/>
      <c r="V780" s="266"/>
      <c r="W780" s="266"/>
      <c r="X780" s="266"/>
      <c r="Y780" s="165">
        <v>0.4</v>
      </c>
      <c r="Z780" s="376">
        <f t="shared" si="141"/>
        <v>320000</v>
      </c>
      <c r="AA780" s="19"/>
      <c r="AB780" s="376">
        <f t="shared" si="157"/>
        <v>480000</v>
      </c>
      <c r="AC780" s="38">
        <f t="shared" si="154"/>
        <v>160000</v>
      </c>
      <c r="AD780" s="19"/>
    </row>
    <row r="781" spans="1:30" s="272" customFormat="1" ht="47.25" x14ac:dyDescent="0.25">
      <c r="A781" s="74">
        <v>778</v>
      </c>
      <c r="B781" s="373">
        <v>44055</v>
      </c>
      <c r="C781" s="358" t="s">
        <v>5475</v>
      </c>
      <c r="D781" s="358"/>
      <c r="E781" s="358" t="s">
        <v>5532</v>
      </c>
      <c r="F781" s="335" t="s">
        <v>5531</v>
      </c>
      <c r="G781" s="269"/>
      <c r="H781" s="335" t="s">
        <v>659</v>
      </c>
      <c r="I781" s="358" t="s">
        <v>5476</v>
      </c>
      <c r="J781" s="269"/>
      <c r="K781" s="269"/>
      <c r="L781" s="266"/>
      <c r="M781" s="278"/>
      <c r="N781" s="439"/>
      <c r="O781" s="649" t="s">
        <v>4918</v>
      </c>
      <c r="P781" s="649" t="s">
        <v>180</v>
      </c>
      <c r="Q781" s="508">
        <v>300</v>
      </c>
      <c r="R781" s="415">
        <v>500000</v>
      </c>
      <c r="S781" s="508">
        <v>300000</v>
      </c>
      <c r="T781" s="280">
        <f t="shared" ref="T781:T782" si="165">R781+S781</f>
        <v>800000</v>
      </c>
      <c r="U781" s="266"/>
      <c r="V781" s="266"/>
      <c r="W781" s="266"/>
      <c r="X781" s="266"/>
      <c r="Y781" s="271">
        <v>0.4</v>
      </c>
      <c r="Z781" s="605">
        <f t="shared" si="141"/>
        <v>320000</v>
      </c>
      <c r="AA781" s="266"/>
      <c r="AB781" s="605">
        <f t="shared" si="157"/>
        <v>480000</v>
      </c>
      <c r="AC781" s="607">
        <f t="shared" si="154"/>
        <v>160000</v>
      </c>
      <c r="AD781" s="266"/>
    </row>
    <row r="782" spans="1:30" s="272" customFormat="1" ht="31.5" x14ac:dyDescent="0.25">
      <c r="A782" s="311">
        <v>779</v>
      </c>
      <c r="B782" s="373">
        <v>44055</v>
      </c>
      <c r="C782" s="358" t="s">
        <v>5534</v>
      </c>
      <c r="D782" s="358"/>
      <c r="E782" s="358" t="s">
        <v>5532</v>
      </c>
      <c r="F782" s="335" t="s">
        <v>5533</v>
      </c>
      <c r="G782" s="269"/>
      <c r="H782" s="335" t="s">
        <v>168</v>
      </c>
      <c r="I782" s="358" t="s">
        <v>5535</v>
      </c>
      <c r="J782" s="269"/>
      <c r="K782" s="269"/>
      <c r="L782" s="266"/>
      <c r="M782" s="278"/>
      <c r="N782" s="439"/>
      <c r="O782" s="266" t="s">
        <v>4932</v>
      </c>
      <c r="P782" s="266" t="s">
        <v>180</v>
      </c>
      <c r="Q782" s="266">
        <v>500</v>
      </c>
      <c r="R782" s="278">
        <v>500000</v>
      </c>
      <c r="S782" s="266">
        <v>425000</v>
      </c>
      <c r="T782" s="266">
        <f t="shared" si="165"/>
        <v>925000</v>
      </c>
      <c r="U782" s="266"/>
      <c r="V782" s="266"/>
      <c r="W782" s="266"/>
      <c r="X782" s="266"/>
      <c r="Y782" s="271">
        <v>0.35</v>
      </c>
      <c r="Z782" s="605">
        <f t="shared" si="141"/>
        <v>323750</v>
      </c>
      <c r="AA782" s="266"/>
      <c r="AB782" s="605">
        <f t="shared" si="157"/>
        <v>555000</v>
      </c>
      <c r="AC782" s="607">
        <f t="shared" si="154"/>
        <v>231250</v>
      </c>
      <c r="AD782" s="266"/>
    </row>
    <row r="783" spans="1:30" s="272" customFormat="1" ht="63" x14ac:dyDescent="0.25">
      <c r="A783" s="113">
        <v>780</v>
      </c>
      <c r="B783" s="373">
        <v>44055</v>
      </c>
      <c r="C783" s="358" t="s">
        <v>5536</v>
      </c>
      <c r="D783" s="358"/>
      <c r="E783" s="358" t="s">
        <v>5532</v>
      </c>
      <c r="F783" s="335" t="s">
        <v>5537</v>
      </c>
      <c r="G783" s="269"/>
      <c r="H783" s="335" t="s">
        <v>345</v>
      </c>
      <c r="I783" s="358" t="s">
        <v>5538</v>
      </c>
      <c r="J783" s="269"/>
      <c r="K783" s="269"/>
      <c r="L783" s="266"/>
      <c r="M783" s="278"/>
      <c r="N783" s="439"/>
      <c r="O783" s="649" t="s">
        <v>4918</v>
      </c>
      <c r="P783" s="649" t="s">
        <v>180</v>
      </c>
      <c r="Q783" s="508">
        <v>300</v>
      </c>
      <c r="R783" s="415">
        <v>500000</v>
      </c>
      <c r="S783" s="508">
        <v>300000</v>
      </c>
      <c r="T783" s="280">
        <f t="shared" ref="T783" si="166">R783+S783</f>
        <v>800000</v>
      </c>
      <c r="U783" s="266"/>
      <c r="V783" s="266"/>
      <c r="W783" s="266"/>
      <c r="X783" s="266"/>
      <c r="Y783" s="271">
        <v>0.4</v>
      </c>
      <c r="Z783" s="605">
        <f t="shared" si="141"/>
        <v>320000</v>
      </c>
      <c r="AA783" s="266"/>
      <c r="AB783" s="605">
        <f t="shared" si="157"/>
        <v>480000</v>
      </c>
      <c r="AC783" s="607">
        <f t="shared" si="154"/>
        <v>160000</v>
      </c>
      <c r="AD783" s="266"/>
    </row>
    <row r="784" spans="1:30" s="272" customFormat="1" ht="47.25" x14ac:dyDescent="0.25">
      <c r="A784" s="74">
        <v>781</v>
      </c>
      <c r="B784" s="373">
        <v>44055</v>
      </c>
      <c r="C784" s="358" t="s">
        <v>5539</v>
      </c>
      <c r="D784" s="358"/>
      <c r="E784" s="358" t="s">
        <v>5532</v>
      </c>
      <c r="F784" s="335" t="s">
        <v>5540</v>
      </c>
      <c r="G784" s="269"/>
      <c r="H784" s="335" t="s">
        <v>322</v>
      </c>
      <c r="I784" s="358" t="s">
        <v>5541</v>
      </c>
      <c r="J784" s="269"/>
      <c r="K784" s="269"/>
      <c r="L784" s="266"/>
      <c r="M784" s="278"/>
      <c r="N784" s="439"/>
      <c r="O784" s="631" t="s">
        <v>4933</v>
      </c>
      <c r="P784" s="631" t="s">
        <v>180</v>
      </c>
      <c r="Q784" s="266">
        <v>1000</v>
      </c>
      <c r="R784" s="278">
        <v>500000</v>
      </c>
      <c r="S784" s="266">
        <v>675000</v>
      </c>
      <c r="T784" s="602">
        <f>S784+R784</f>
        <v>1175000</v>
      </c>
      <c r="U784" s="266"/>
      <c r="V784" s="266"/>
      <c r="W784" s="266"/>
      <c r="X784" s="266"/>
      <c r="Y784" s="271">
        <v>0.4</v>
      </c>
      <c r="Z784" s="605">
        <f t="shared" si="141"/>
        <v>470000</v>
      </c>
      <c r="AA784" s="266"/>
      <c r="AB784" s="605">
        <f t="shared" si="157"/>
        <v>705000</v>
      </c>
      <c r="AC784" s="607">
        <f t="shared" si="154"/>
        <v>235000</v>
      </c>
      <c r="AD784" s="266"/>
    </row>
    <row r="785" spans="1:30" ht="47.25" x14ac:dyDescent="0.25">
      <c r="A785" s="311">
        <v>782</v>
      </c>
      <c r="B785" s="22">
        <v>44055</v>
      </c>
      <c r="C785" s="148" t="s">
        <v>5542</v>
      </c>
      <c r="D785" s="148"/>
      <c r="E785" s="148" t="s">
        <v>3479</v>
      </c>
      <c r="F785" s="101" t="s">
        <v>5543</v>
      </c>
      <c r="G785" s="10"/>
      <c r="H785" s="101" t="s">
        <v>168</v>
      </c>
      <c r="I785" s="148" t="s">
        <v>5544</v>
      </c>
      <c r="J785" s="10"/>
      <c r="K785" s="10"/>
      <c r="L785" s="19"/>
      <c r="M785" s="13"/>
      <c r="N785" s="249"/>
      <c r="O785" s="19" t="s">
        <v>4576</v>
      </c>
      <c r="P785" s="19"/>
      <c r="Q785" s="19"/>
      <c r="R785" s="13"/>
      <c r="S785" s="19"/>
      <c r="T785" s="19"/>
      <c r="U785" s="19"/>
      <c r="V785" s="19"/>
      <c r="W785" s="19"/>
      <c r="X785" s="19"/>
      <c r="Y785" s="19"/>
      <c r="Z785" s="376">
        <f t="shared" si="141"/>
        <v>0</v>
      </c>
      <c r="AA785" s="19"/>
      <c r="AB785" s="376">
        <f t="shared" si="157"/>
        <v>0</v>
      </c>
      <c r="AC785" s="38">
        <f t="shared" si="154"/>
        <v>0</v>
      </c>
      <c r="AD785" s="19"/>
    </row>
    <row r="786" spans="1:30" s="272" customFormat="1" ht="47.25" x14ac:dyDescent="0.25">
      <c r="A786" s="113">
        <v>783</v>
      </c>
      <c r="B786" s="373">
        <v>44055</v>
      </c>
      <c r="C786" s="358" t="s">
        <v>5545</v>
      </c>
      <c r="D786" s="358"/>
      <c r="E786" s="358" t="s">
        <v>309</v>
      </c>
      <c r="F786" s="335" t="s">
        <v>5547</v>
      </c>
      <c r="G786" s="269"/>
      <c r="H786" s="335" t="s">
        <v>168</v>
      </c>
      <c r="I786" s="358" t="s">
        <v>5546</v>
      </c>
      <c r="J786" s="269"/>
      <c r="K786" s="269"/>
      <c r="L786" s="266"/>
      <c r="M786" s="278"/>
      <c r="N786" s="439"/>
      <c r="O786" s="649" t="s">
        <v>4918</v>
      </c>
      <c r="P786" s="649" t="s">
        <v>180</v>
      </c>
      <c r="Q786" s="508">
        <v>300</v>
      </c>
      <c r="R786" s="415">
        <v>500000</v>
      </c>
      <c r="S786" s="508">
        <v>300000</v>
      </c>
      <c r="T786" s="280">
        <f t="shared" ref="T786" si="167">R786+S786</f>
        <v>800000</v>
      </c>
      <c r="U786" s="266"/>
      <c r="V786" s="266"/>
      <c r="W786" s="266"/>
      <c r="X786" s="266"/>
      <c r="Y786" s="271">
        <v>0.35</v>
      </c>
      <c r="Z786" s="605">
        <f t="shared" si="141"/>
        <v>280000</v>
      </c>
      <c r="AA786" s="266"/>
      <c r="AB786" s="605">
        <f t="shared" si="157"/>
        <v>480000</v>
      </c>
      <c r="AC786" s="607">
        <f t="shared" si="154"/>
        <v>200000</v>
      </c>
      <c r="AD786" s="266"/>
    </row>
    <row r="787" spans="1:30" ht="47.25" x14ac:dyDescent="0.25">
      <c r="A787" s="74">
        <v>784</v>
      </c>
      <c r="B787" s="22">
        <v>44055</v>
      </c>
      <c r="C787" s="148" t="s">
        <v>5548</v>
      </c>
      <c r="D787" s="148"/>
      <c r="E787" s="148" t="s">
        <v>3479</v>
      </c>
      <c r="F787" s="101" t="s">
        <v>5550</v>
      </c>
      <c r="G787" s="10"/>
      <c r="H787" s="101" t="s">
        <v>168</v>
      </c>
      <c r="I787" s="148" t="s">
        <v>5549</v>
      </c>
      <c r="J787" s="10"/>
      <c r="K787" s="10"/>
      <c r="L787" s="19"/>
      <c r="M787" s="13"/>
      <c r="N787" s="249"/>
      <c r="O787" s="19" t="s">
        <v>4576</v>
      </c>
      <c r="P787" s="19"/>
      <c r="Q787" s="19"/>
      <c r="R787" s="13"/>
      <c r="S787" s="19"/>
      <c r="T787" s="19"/>
      <c r="U787" s="19"/>
      <c r="V787" s="19"/>
      <c r="W787" s="19"/>
      <c r="X787" s="19"/>
      <c r="Y787" s="19"/>
      <c r="Z787" s="376">
        <f t="shared" si="141"/>
        <v>0</v>
      </c>
      <c r="AA787" s="19"/>
      <c r="AB787" s="376">
        <f t="shared" si="157"/>
        <v>0</v>
      </c>
      <c r="AC787" s="38">
        <f t="shared" si="154"/>
        <v>0</v>
      </c>
      <c r="AD787" s="19"/>
    </row>
    <row r="788" spans="1:30" ht="31.5" x14ac:dyDescent="0.25">
      <c r="A788" s="311">
        <v>785</v>
      </c>
      <c r="B788" s="22">
        <v>44055</v>
      </c>
      <c r="C788" s="148" t="s">
        <v>5551</v>
      </c>
      <c r="D788" s="148"/>
      <c r="E788" s="148" t="s">
        <v>3646</v>
      </c>
      <c r="F788" s="101" t="s">
        <v>5553</v>
      </c>
      <c r="G788" s="10"/>
      <c r="H788" s="101" t="s">
        <v>168</v>
      </c>
      <c r="I788" s="148" t="s">
        <v>5552</v>
      </c>
      <c r="J788" s="10"/>
      <c r="K788" s="10"/>
      <c r="L788" s="19"/>
      <c r="M788" s="13"/>
      <c r="N788" s="249"/>
      <c r="O788" s="19" t="s">
        <v>4576</v>
      </c>
      <c r="P788" s="19"/>
      <c r="Q788" s="19"/>
      <c r="R788" s="13"/>
      <c r="S788" s="19"/>
      <c r="T788" s="19"/>
      <c r="U788" s="19"/>
      <c r="V788" s="19"/>
      <c r="W788" s="19"/>
      <c r="X788" s="19"/>
      <c r="Y788" s="19"/>
      <c r="Z788" s="605">
        <f t="shared" si="141"/>
        <v>0</v>
      </c>
      <c r="AA788" s="19"/>
      <c r="AB788" s="605">
        <f t="shared" si="157"/>
        <v>0</v>
      </c>
      <c r="AC788" s="607">
        <f t="shared" si="154"/>
        <v>0</v>
      </c>
      <c r="AD788" s="19"/>
    </row>
    <row r="789" spans="1:30" s="272" customFormat="1" ht="47.25" x14ac:dyDescent="0.25">
      <c r="A789" s="113">
        <v>786</v>
      </c>
      <c r="B789" s="373">
        <v>44055</v>
      </c>
      <c r="C789" s="358" t="s">
        <v>5555</v>
      </c>
      <c r="D789" s="358"/>
      <c r="E789" s="358" t="s">
        <v>309</v>
      </c>
      <c r="F789" s="335" t="s">
        <v>5554</v>
      </c>
      <c r="G789" s="269"/>
      <c r="H789" s="335" t="s">
        <v>168</v>
      </c>
      <c r="I789" s="358" t="s">
        <v>5556</v>
      </c>
      <c r="J789" s="269"/>
      <c r="K789" s="269"/>
      <c r="L789" s="266"/>
      <c r="M789" s="278"/>
      <c r="N789" s="439"/>
      <c r="O789" s="649" t="s">
        <v>4918</v>
      </c>
      <c r="P789" s="649" t="s">
        <v>180</v>
      </c>
      <c r="Q789" s="508">
        <v>300</v>
      </c>
      <c r="R789" s="415">
        <v>500000</v>
      </c>
      <c r="S789" s="508">
        <v>300000</v>
      </c>
      <c r="T789" s="280">
        <f t="shared" ref="T789" si="168">R789+S789</f>
        <v>800000</v>
      </c>
      <c r="U789" s="266"/>
      <c r="V789" s="266"/>
      <c r="W789" s="266"/>
      <c r="X789" s="266"/>
      <c r="Y789" s="271">
        <v>0.35</v>
      </c>
      <c r="Z789" s="605">
        <f t="shared" si="141"/>
        <v>280000</v>
      </c>
      <c r="AA789" s="266"/>
      <c r="AB789" s="605">
        <f t="shared" si="157"/>
        <v>480000</v>
      </c>
      <c r="AC789" s="607">
        <f t="shared" si="154"/>
        <v>200000</v>
      </c>
      <c r="AD789" s="266"/>
    </row>
    <row r="790" spans="1:30" s="272" customFormat="1" ht="47.25" x14ac:dyDescent="0.25">
      <c r="A790" s="74">
        <v>787</v>
      </c>
      <c r="B790" s="373">
        <v>44055</v>
      </c>
      <c r="C790" s="358" t="s">
        <v>5557</v>
      </c>
      <c r="D790" s="358"/>
      <c r="E790" s="358" t="s">
        <v>2404</v>
      </c>
      <c r="F790" s="335" t="s">
        <v>5559</v>
      </c>
      <c r="G790" s="269"/>
      <c r="H790" s="335" t="s">
        <v>1639</v>
      </c>
      <c r="I790" s="358" t="s">
        <v>5558</v>
      </c>
      <c r="J790" s="269"/>
      <c r="K790" s="269"/>
      <c r="L790" s="266"/>
      <c r="M790" s="278"/>
      <c r="N790" s="439"/>
      <c r="O790" s="649" t="s">
        <v>4918</v>
      </c>
      <c r="P790" s="649" t="s">
        <v>180</v>
      </c>
      <c r="Q790" s="508">
        <v>300</v>
      </c>
      <c r="R790" s="415">
        <v>500000</v>
      </c>
      <c r="S790" s="508">
        <v>300000</v>
      </c>
      <c r="T790" s="280">
        <f t="shared" ref="T790" si="169">R790+S790</f>
        <v>800000</v>
      </c>
      <c r="U790" s="266"/>
      <c r="V790" s="266"/>
      <c r="W790" s="266"/>
      <c r="X790" s="266"/>
      <c r="Y790" s="271">
        <v>0.35</v>
      </c>
      <c r="Z790" s="605">
        <f t="shared" si="141"/>
        <v>280000</v>
      </c>
      <c r="AA790" s="266"/>
      <c r="AB790" s="605">
        <f t="shared" si="157"/>
        <v>480000</v>
      </c>
      <c r="AC790" s="607">
        <f t="shared" si="154"/>
        <v>200000</v>
      </c>
      <c r="AD790" s="266"/>
    </row>
    <row r="791" spans="1:30" s="481" customFormat="1" ht="47.25" x14ac:dyDescent="0.25">
      <c r="A791" s="702">
        <v>788</v>
      </c>
      <c r="B791" s="476">
        <v>44055</v>
      </c>
      <c r="C791" s="477" t="s">
        <v>5560</v>
      </c>
      <c r="D791" s="477"/>
      <c r="E791" s="477" t="s">
        <v>5532</v>
      </c>
      <c r="F791" s="478" t="s">
        <v>5562</v>
      </c>
      <c r="G791" s="274"/>
      <c r="H791" s="478" t="s">
        <v>1639</v>
      </c>
      <c r="I791" s="477" t="s">
        <v>5561</v>
      </c>
      <c r="J791" s="274" t="s">
        <v>6599</v>
      </c>
      <c r="K791" s="274"/>
      <c r="L791" s="274"/>
      <c r="M791" s="273"/>
      <c r="N791" s="479"/>
      <c r="O791" s="649" t="s">
        <v>4918</v>
      </c>
      <c r="P791" s="649" t="s">
        <v>180</v>
      </c>
      <c r="Q791" s="508">
        <v>300</v>
      </c>
      <c r="R791" s="415">
        <v>500000</v>
      </c>
      <c r="S791" s="508">
        <v>300000</v>
      </c>
      <c r="T791" s="280">
        <f t="shared" ref="T791" si="170">R791+S791</f>
        <v>800000</v>
      </c>
      <c r="U791" s="274"/>
      <c r="V791" s="274"/>
      <c r="W791" s="274"/>
      <c r="X791" s="274"/>
      <c r="Y791" s="480">
        <v>0.4</v>
      </c>
      <c r="Z791" s="605">
        <f t="shared" si="141"/>
        <v>320000</v>
      </c>
      <c r="AA791" s="274"/>
      <c r="AB791" s="605">
        <f t="shared" si="157"/>
        <v>480000</v>
      </c>
      <c r="AC791" s="605">
        <f t="shared" si="154"/>
        <v>160000</v>
      </c>
      <c r="AD791" s="274"/>
    </row>
    <row r="792" spans="1:30" s="272" customFormat="1" ht="47.25" x14ac:dyDescent="0.25">
      <c r="A792" s="113">
        <v>789</v>
      </c>
      <c r="B792" s="373">
        <v>44055</v>
      </c>
      <c r="C792" s="358" t="s">
        <v>5563</v>
      </c>
      <c r="D792" s="358"/>
      <c r="E792" s="358" t="s">
        <v>3479</v>
      </c>
      <c r="F792" s="335" t="s">
        <v>5564</v>
      </c>
      <c r="G792" s="269"/>
      <c r="H792" s="335" t="s">
        <v>168</v>
      </c>
      <c r="I792" s="358" t="s">
        <v>5565</v>
      </c>
      <c r="J792" s="269"/>
      <c r="K792" s="269"/>
      <c r="L792" s="266"/>
      <c r="M792" s="278"/>
      <c r="N792" s="439"/>
      <c r="O792" s="649" t="s">
        <v>4918</v>
      </c>
      <c r="P792" s="649" t="s">
        <v>180</v>
      </c>
      <c r="Q792" s="508">
        <v>300</v>
      </c>
      <c r="R792" s="415">
        <v>500000</v>
      </c>
      <c r="S792" s="508">
        <v>300000</v>
      </c>
      <c r="T792" s="280">
        <f t="shared" ref="T792" si="171">R792+S792</f>
        <v>800000</v>
      </c>
      <c r="U792" s="266"/>
      <c r="V792" s="266"/>
      <c r="W792" s="266"/>
      <c r="X792" s="266"/>
      <c r="Y792" s="271">
        <v>0.35</v>
      </c>
      <c r="Z792" s="605">
        <f t="shared" si="141"/>
        <v>280000</v>
      </c>
      <c r="AA792" s="266"/>
      <c r="AB792" s="605">
        <f t="shared" si="157"/>
        <v>480000</v>
      </c>
      <c r="AC792" s="607">
        <f t="shared" si="154"/>
        <v>200000</v>
      </c>
      <c r="AD792" s="266"/>
    </row>
    <row r="793" spans="1:30" ht="47.25" x14ac:dyDescent="0.25">
      <c r="A793" s="74">
        <v>790</v>
      </c>
      <c r="B793" s="22">
        <v>44055</v>
      </c>
      <c r="C793" s="148" t="s">
        <v>5567</v>
      </c>
      <c r="D793" s="148"/>
      <c r="E793" s="148" t="s">
        <v>2404</v>
      </c>
      <c r="F793" s="101" t="s">
        <v>5566</v>
      </c>
      <c r="G793" s="10"/>
      <c r="H793" s="101" t="s">
        <v>1177</v>
      </c>
      <c r="I793" s="148" t="s">
        <v>5568</v>
      </c>
      <c r="J793" s="10"/>
      <c r="K793" s="10"/>
      <c r="L793" s="19"/>
      <c r="M793" s="13"/>
      <c r="N793" s="249"/>
      <c r="O793" s="19" t="s">
        <v>4576</v>
      </c>
      <c r="P793" s="19"/>
      <c r="Q793" s="19"/>
      <c r="R793" s="13"/>
      <c r="S793" s="19"/>
      <c r="T793" s="19"/>
      <c r="U793" s="19"/>
      <c r="V793" s="19"/>
      <c r="W793" s="19"/>
      <c r="X793" s="19"/>
      <c r="Y793" s="19"/>
      <c r="Z793" s="605">
        <f t="shared" si="141"/>
        <v>0</v>
      </c>
      <c r="AA793" s="19"/>
      <c r="AB793" s="605">
        <f t="shared" si="157"/>
        <v>0</v>
      </c>
      <c r="AC793" s="607">
        <f t="shared" si="154"/>
        <v>0</v>
      </c>
      <c r="AD793" s="19"/>
    </row>
    <row r="794" spans="1:30" ht="47.25" x14ac:dyDescent="0.25">
      <c r="A794" s="311">
        <v>791</v>
      </c>
      <c r="B794" s="22">
        <v>44055</v>
      </c>
      <c r="C794" s="148" t="s">
        <v>5569</v>
      </c>
      <c r="D794" s="148"/>
      <c r="E794" s="148" t="s">
        <v>2404</v>
      </c>
      <c r="F794" s="101" t="s">
        <v>5570</v>
      </c>
      <c r="G794" s="10"/>
      <c r="H794" s="101" t="s">
        <v>1177</v>
      </c>
      <c r="I794" s="148" t="s">
        <v>5568</v>
      </c>
      <c r="J794" s="10"/>
      <c r="K794" s="10"/>
      <c r="L794" s="19"/>
      <c r="M794" s="13"/>
      <c r="N794" s="249"/>
      <c r="O794" s="19" t="s">
        <v>4576</v>
      </c>
      <c r="P794" s="19"/>
      <c r="Q794" s="19"/>
      <c r="R794" s="13"/>
      <c r="S794" s="19"/>
      <c r="T794" s="19"/>
      <c r="U794" s="19"/>
      <c r="V794" s="19"/>
      <c r="W794" s="19"/>
      <c r="X794" s="19"/>
      <c r="Y794" s="19"/>
      <c r="Z794" s="605">
        <f t="shared" si="141"/>
        <v>0</v>
      </c>
      <c r="AA794" s="19"/>
      <c r="AB794" s="605">
        <f t="shared" si="157"/>
        <v>0</v>
      </c>
      <c r="AC794" s="607">
        <f t="shared" si="154"/>
        <v>0</v>
      </c>
      <c r="AD794" s="19"/>
    </row>
    <row r="795" spans="1:30" ht="47.25" x14ac:dyDescent="0.25">
      <c r="A795" s="113">
        <v>792</v>
      </c>
      <c r="B795" s="22">
        <v>44055</v>
      </c>
      <c r="C795" s="148" t="s">
        <v>5571</v>
      </c>
      <c r="D795" s="148"/>
      <c r="E795" s="148" t="s">
        <v>5532</v>
      </c>
      <c r="F795" s="101" t="s">
        <v>5573</v>
      </c>
      <c r="G795" s="10"/>
      <c r="H795" s="101" t="s">
        <v>1177</v>
      </c>
      <c r="I795" s="148" t="s">
        <v>5572</v>
      </c>
      <c r="J795" s="10"/>
      <c r="K795" s="10"/>
      <c r="L795" s="19"/>
      <c r="M795" s="13"/>
      <c r="N795" s="249"/>
      <c r="O795" s="19" t="s">
        <v>4576</v>
      </c>
      <c r="P795" s="19"/>
      <c r="Q795" s="19"/>
      <c r="R795" s="13"/>
      <c r="S795" s="19"/>
      <c r="T795" s="19"/>
      <c r="U795" s="19"/>
      <c r="V795" s="19"/>
      <c r="W795" s="19"/>
      <c r="X795" s="19"/>
      <c r="Y795" s="19"/>
      <c r="Z795" s="605">
        <f t="shared" si="141"/>
        <v>0</v>
      </c>
      <c r="AA795" s="19"/>
      <c r="AB795" s="605">
        <f t="shared" si="157"/>
        <v>0</v>
      </c>
      <c r="AC795" s="607">
        <f t="shared" si="154"/>
        <v>0</v>
      </c>
      <c r="AD795" s="19"/>
    </row>
    <row r="796" spans="1:30" ht="63" x14ac:dyDescent="0.25">
      <c r="A796" s="74">
        <v>793</v>
      </c>
      <c r="B796" s="22">
        <v>44055</v>
      </c>
      <c r="C796" s="148" t="s">
        <v>5508</v>
      </c>
      <c r="D796" s="148"/>
      <c r="E796" s="148" t="s">
        <v>309</v>
      </c>
      <c r="F796" s="101" t="s">
        <v>5575</v>
      </c>
      <c r="G796" s="10"/>
      <c r="H796" s="101" t="s">
        <v>168</v>
      </c>
      <c r="I796" s="148" t="s">
        <v>5574</v>
      </c>
      <c r="J796" s="10"/>
      <c r="K796" s="10"/>
      <c r="L796" s="19"/>
      <c r="M796" s="13"/>
      <c r="N796" s="249"/>
      <c r="O796" s="649" t="s">
        <v>4918</v>
      </c>
      <c r="P796" s="649" t="s">
        <v>180</v>
      </c>
      <c r="Q796" s="508">
        <v>300</v>
      </c>
      <c r="R796" s="415">
        <v>500000</v>
      </c>
      <c r="S796" s="508">
        <v>300000</v>
      </c>
      <c r="T796" s="280">
        <f t="shared" ref="T796" si="172">R796+S796</f>
        <v>800000</v>
      </c>
      <c r="U796" s="266"/>
      <c r="V796" s="266"/>
      <c r="W796" s="266"/>
      <c r="X796" s="266"/>
      <c r="Y796" s="271">
        <v>0.35</v>
      </c>
      <c r="Z796" s="605">
        <f t="shared" si="141"/>
        <v>280000</v>
      </c>
      <c r="AA796" s="19"/>
      <c r="AB796" s="605">
        <f t="shared" si="157"/>
        <v>480000</v>
      </c>
      <c r="AC796" s="607">
        <f t="shared" si="154"/>
        <v>200000</v>
      </c>
      <c r="AD796" s="19"/>
    </row>
    <row r="797" spans="1:30" s="272" customFormat="1" ht="47.25" x14ac:dyDescent="0.25">
      <c r="A797" s="311">
        <v>794</v>
      </c>
      <c r="B797" s="373">
        <v>44055</v>
      </c>
      <c r="C797" s="358" t="s">
        <v>5663</v>
      </c>
      <c r="D797" s="358"/>
      <c r="E797" s="358" t="s">
        <v>2404</v>
      </c>
      <c r="F797" s="335" t="s">
        <v>5664</v>
      </c>
      <c r="G797" s="269"/>
      <c r="H797" s="335" t="s">
        <v>1177</v>
      </c>
      <c r="I797" s="358" t="s">
        <v>5665</v>
      </c>
      <c r="J797" s="269"/>
      <c r="K797" s="269"/>
      <c r="L797" s="266"/>
      <c r="M797" s="278"/>
      <c r="N797" s="439"/>
      <c r="O797" s="649" t="s">
        <v>4918</v>
      </c>
      <c r="P797" s="649" t="s">
        <v>180</v>
      </c>
      <c r="Q797" s="508">
        <v>300</v>
      </c>
      <c r="R797" s="415">
        <v>500000</v>
      </c>
      <c r="S797" s="508">
        <v>300000</v>
      </c>
      <c r="T797" s="280">
        <f t="shared" ref="T797" si="173">R797+S797</f>
        <v>800000</v>
      </c>
      <c r="U797" s="266"/>
      <c r="V797" s="266"/>
      <c r="W797" s="266"/>
      <c r="X797" s="266"/>
      <c r="Y797" s="271">
        <v>0.4</v>
      </c>
      <c r="Z797" s="605">
        <f t="shared" si="141"/>
        <v>320000</v>
      </c>
      <c r="AA797" s="266"/>
      <c r="AB797" s="605">
        <f t="shared" si="157"/>
        <v>480000</v>
      </c>
      <c r="AC797" s="607">
        <f t="shared" si="154"/>
        <v>160000</v>
      </c>
      <c r="AD797" s="266"/>
    </row>
    <row r="798" spans="1:30" ht="47.25" x14ac:dyDescent="0.25">
      <c r="A798" s="113">
        <v>795</v>
      </c>
      <c r="B798" s="22">
        <v>44055</v>
      </c>
      <c r="C798" s="148" t="s">
        <v>5666</v>
      </c>
      <c r="D798" s="148"/>
      <c r="E798" s="148" t="s">
        <v>2404</v>
      </c>
      <c r="F798" s="101" t="s">
        <v>5668</v>
      </c>
      <c r="G798" s="10"/>
      <c r="H798" s="101" t="s">
        <v>1177</v>
      </c>
      <c r="I798" s="148" t="s">
        <v>5667</v>
      </c>
      <c r="J798" s="10"/>
      <c r="K798" s="10"/>
      <c r="L798" s="19"/>
      <c r="M798" s="13"/>
      <c r="N798" s="249"/>
      <c r="O798" s="19" t="s">
        <v>4576</v>
      </c>
      <c r="P798" s="19"/>
      <c r="Q798" s="19"/>
      <c r="R798" s="13"/>
      <c r="S798" s="19"/>
      <c r="T798" s="19"/>
      <c r="U798" s="19"/>
      <c r="V798" s="19"/>
      <c r="W798" s="19"/>
      <c r="X798" s="19"/>
      <c r="Y798" s="19"/>
      <c r="Z798" s="605">
        <f t="shared" si="141"/>
        <v>0</v>
      </c>
      <c r="AA798" s="19"/>
      <c r="AB798" s="605">
        <f t="shared" si="157"/>
        <v>0</v>
      </c>
      <c r="AC798" s="607">
        <f t="shared" si="154"/>
        <v>0</v>
      </c>
      <c r="AD798" s="19"/>
    </row>
    <row r="799" spans="1:30" s="272" customFormat="1" ht="47.25" x14ac:dyDescent="0.25">
      <c r="A799" s="74">
        <v>796</v>
      </c>
      <c r="B799" s="373">
        <v>44055</v>
      </c>
      <c r="C799" s="358" t="s">
        <v>5669</v>
      </c>
      <c r="D799" s="358"/>
      <c r="E799" s="358" t="s">
        <v>3646</v>
      </c>
      <c r="F799" s="335" t="s">
        <v>5670</v>
      </c>
      <c r="G799" s="269"/>
      <c r="H799" s="335" t="s">
        <v>168</v>
      </c>
      <c r="I799" s="358" t="s">
        <v>5671</v>
      </c>
      <c r="J799" s="269" t="s">
        <v>5672</v>
      </c>
      <c r="K799" s="208" t="s">
        <v>5673</v>
      </c>
      <c r="L799" s="266"/>
      <c r="M799" s="278"/>
      <c r="N799" s="439"/>
      <c r="O799" s="649" t="s">
        <v>4918</v>
      </c>
      <c r="P799" s="649" t="s">
        <v>180</v>
      </c>
      <c r="Q799" s="508">
        <v>300</v>
      </c>
      <c r="R799" s="415">
        <v>500000</v>
      </c>
      <c r="S799" s="508">
        <v>300000</v>
      </c>
      <c r="T799" s="280">
        <f t="shared" ref="T799" si="174">R799+S799</f>
        <v>800000</v>
      </c>
      <c r="U799" s="266"/>
      <c r="V799" s="266"/>
      <c r="W799" s="266"/>
      <c r="X799" s="266"/>
      <c r="Y799" s="271">
        <v>0.35</v>
      </c>
      <c r="Z799" s="605">
        <f t="shared" si="141"/>
        <v>280000</v>
      </c>
      <c r="AA799" s="266"/>
      <c r="AB799" s="605">
        <f t="shared" si="157"/>
        <v>480000</v>
      </c>
      <c r="AC799" s="607">
        <f t="shared" si="154"/>
        <v>200000</v>
      </c>
      <c r="AD799" s="266"/>
    </row>
    <row r="800" spans="1:30" s="272" customFormat="1" ht="63" x14ac:dyDescent="0.25">
      <c r="A800" s="311">
        <v>797</v>
      </c>
      <c r="B800" s="373">
        <v>44056</v>
      </c>
      <c r="C800" s="358" t="s">
        <v>5674</v>
      </c>
      <c r="D800" s="358"/>
      <c r="E800" s="358" t="s">
        <v>2404</v>
      </c>
      <c r="F800" s="335" t="s">
        <v>5675</v>
      </c>
      <c r="G800" s="269"/>
      <c r="H800" s="335" t="s">
        <v>168</v>
      </c>
      <c r="I800" s="358" t="s">
        <v>5678</v>
      </c>
      <c r="J800" s="498" t="s">
        <v>5676</v>
      </c>
      <c r="K800" s="380" t="s">
        <v>5677</v>
      </c>
      <c r="L800" s="266"/>
      <c r="M800" s="278"/>
      <c r="N800" s="439"/>
      <c r="O800" s="649" t="s">
        <v>4918</v>
      </c>
      <c r="P800" s="649" t="s">
        <v>180</v>
      </c>
      <c r="Q800" s="508">
        <v>300</v>
      </c>
      <c r="R800" s="415">
        <v>500000</v>
      </c>
      <c r="S800" s="508">
        <v>300000</v>
      </c>
      <c r="T800" s="280">
        <f t="shared" ref="T800" si="175">R800+S800</f>
        <v>800000</v>
      </c>
      <c r="U800" s="266"/>
      <c r="V800" s="266"/>
      <c r="W800" s="266"/>
      <c r="X800" s="266"/>
      <c r="Y800" s="271">
        <v>0.35</v>
      </c>
      <c r="Z800" s="605">
        <f t="shared" si="141"/>
        <v>280000</v>
      </c>
      <c r="AA800" s="266"/>
      <c r="AB800" s="605">
        <f t="shared" si="157"/>
        <v>480000</v>
      </c>
      <c r="AC800" s="607">
        <f t="shared" si="154"/>
        <v>200000</v>
      </c>
      <c r="AD800" s="266"/>
    </row>
    <row r="801" spans="1:30" s="272" customFormat="1" ht="47.25" x14ac:dyDescent="0.25">
      <c r="A801" s="113">
        <v>798</v>
      </c>
      <c r="B801" s="373">
        <v>44056</v>
      </c>
      <c r="C801" s="358" t="s">
        <v>5681</v>
      </c>
      <c r="D801" s="358" t="s">
        <v>5683</v>
      </c>
      <c r="E801" s="358" t="s">
        <v>3646</v>
      </c>
      <c r="F801" s="335" t="s">
        <v>5682</v>
      </c>
      <c r="G801" s="269"/>
      <c r="H801" s="335" t="s">
        <v>888</v>
      </c>
      <c r="I801" s="358" t="s">
        <v>5684</v>
      </c>
      <c r="J801" s="269" t="s">
        <v>5679</v>
      </c>
      <c r="K801" s="380" t="s">
        <v>5680</v>
      </c>
      <c r="L801" s="266"/>
      <c r="M801" s="278"/>
      <c r="N801" s="439"/>
      <c r="O801" s="649" t="s">
        <v>4918</v>
      </c>
      <c r="P801" s="649" t="s">
        <v>180</v>
      </c>
      <c r="Q801" s="508">
        <v>300</v>
      </c>
      <c r="R801" s="415">
        <v>500000</v>
      </c>
      <c r="S801" s="508">
        <v>300000</v>
      </c>
      <c r="T801" s="280">
        <f t="shared" ref="T801" si="176">R801+S801</f>
        <v>800000</v>
      </c>
      <c r="U801" s="266"/>
      <c r="V801" s="266"/>
      <c r="W801" s="266"/>
      <c r="X801" s="266"/>
      <c r="Y801" s="271">
        <v>0.4</v>
      </c>
      <c r="Z801" s="605">
        <f t="shared" si="141"/>
        <v>320000</v>
      </c>
      <c r="AA801" s="266"/>
      <c r="AB801" s="605">
        <f t="shared" si="157"/>
        <v>480000</v>
      </c>
      <c r="AC801" s="607">
        <f t="shared" si="154"/>
        <v>160000</v>
      </c>
      <c r="AD801" s="266"/>
    </row>
    <row r="802" spans="1:30" ht="47.25" x14ac:dyDescent="0.25">
      <c r="A802" s="74">
        <v>799</v>
      </c>
      <c r="B802" s="22">
        <v>44056</v>
      </c>
      <c r="C802" s="148" t="s">
        <v>5686</v>
      </c>
      <c r="D802" s="148"/>
      <c r="E802" s="148" t="s">
        <v>3646</v>
      </c>
      <c r="F802" s="101" t="s">
        <v>5685</v>
      </c>
      <c r="G802" s="10"/>
      <c r="H802" s="101" t="s">
        <v>168</v>
      </c>
      <c r="I802" s="148" t="s">
        <v>5687</v>
      </c>
      <c r="J802" s="37" t="s">
        <v>5688</v>
      </c>
      <c r="K802" s="10"/>
      <c r="L802" s="19"/>
      <c r="M802" s="13"/>
      <c r="N802" s="249"/>
      <c r="O802" s="693" t="s">
        <v>4918</v>
      </c>
      <c r="P802" s="693" t="s">
        <v>180</v>
      </c>
      <c r="Q802" s="365">
        <v>300</v>
      </c>
      <c r="R802" s="364">
        <v>500000</v>
      </c>
      <c r="S802" s="365">
        <v>300000</v>
      </c>
      <c r="T802" s="219">
        <f t="shared" ref="T802:T803" si="177">R802+S802</f>
        <v>800000</v>
      </c>
      <c r="U802" s="19"/>
      <c r="V802" s="19"/>
      <c r="W802" s="19"/>
      <c r="X802" s="19"/>
      <c r="Y802" s="165">
        <v>0.4</v>
      </c>
      <c r="Z802" s="376">
        <f t="shared" ref="Z802:Z865" si="178">T802*Y802</f>
        <v>320000</v>
      </c>
      <c r="AA802" s="19"/>
      <c r="AB802" s="376">
        <f>T802*0.65</f>
        <v>520000</v>
      </c>
      <c r="AC802" s="38">
        <f t="shared" si="154"/>
        <v>200000</v>
      </c>
      <c r="AD802" s="19" t="s">
        <v>5701</v>
      </c>
    </row>
    <row r="803" spans="1:30" s="272" customFormat="1" ht="47.25" x14ac:dyDescent="0.25">
      <c r="A803" s="311">
        <v>800</v>
      </c>
      <c r="B803" s="373">
        <v>44056</v>
      </c>
      <c r="C803" s="358" t="s">
        <v>5689</v>
      </c>
      <c r="D803" s="358"/>
      <c r="E803" s="358" t="s">
        <v>3646</v>
      </c>
      <c r="F803" s="335" t="s">
        <v>5691</v>
      </c>
      <c r="G803" s="269"/>
      <c r="H803" s="335" t="s">
        <v>353</v>
      </c>
      <c r="I803" s="358" t="s">
        <v>5690</v>
      </c>
      <c r="J803" s="37" t="s">
        <v>5688</v>
      </c>
      <c r="K803" s="269"/>
      <c r="L803" s="266"/>
      <c r="M803" s="278"/>
      <c r="N803" s="439"/>
      <c r="O803" s="649" t="s">
        <v>4918</v>
      </c>
      <c r="P803" s="649" t="s">
        <v>180</v>
      </c>
      <c r="Q803" s="508">
        <v>300</v>
      </c>
      <c r="R803" s="415">
        <v>500000</v>
      </c>
      <c r="S803" s="508">
        <v>300000</v>
      </c>
      <c r="T803" s="280">
        <f t="shared" si="177"/>
        <v>800000</v>
      </c>
      <c r="U803" s="266"/>
      <c r="V803" s="266"/>
      <c r="W803" s="266"/>
      <c r="X803" s="266"/>
      <c r="Y803" s="271">
        <v>0.4</v>
      </c>
      <c r="Z803" s="605">
        <f t="shared" si="178"/>
        <v>320000</v>
      </c>
      <c r="AA803" s="266"/>
      <c r="AB803" s="605">
        <f t="shared" ref="AB803:AB866" si="179">T803*0.65</f>
        <v>520000</v>
      </c>
      <c r="AC803" s="607">
        <f t="shared" si="154"/>
        <v>200000</v>
      </c>
      <c r="AD803" s="266"/>
    </row>
    <row r="804" spans="1:30" ht="47.25" x14ac:dyDescent="0.25">
      <c r="A804" s="113">
        <v>801</v>
      </c>
      <c r="B804" s="22">
        <v>44056</v>
      </c>
      <c r="C804" s="148" t="s">
        <v>5692</v>
      </c>
      <c r="D804" s="148"/>
      <c r="E804" s="148" t="s">
        <v>5693</v>
      </c>
      <c r="F804" s="101" t="s">
        <v>5694</v>
      </c>
      <c r="G804" s="10"/>
      <c r="H804" s="101" t="s">
        <v>1639</v>
      </c>
      <c r="I804" s="148" t="s">
        <v>5695</v>
      </c>
      <c r="J804" s="10" t="s">
        <v>5696</v>
      </c>
      <c r="K804" s="10"/>
      <c r="L804" s="19"/>
      <c r="M804" s="13"/>
      <c r="N804" s="249"/>
      <c r="O804" s="19" t="s">
        <v>5697</v>
      </c>
      <c r="P804" s="19"/>
      <c r="Q804" s="19"/>
      <c r="R804" s="13"/>
      <c r="S804" s="19"/>
      <c r="T804" s="19"/>
      <c r="U804" s="19"/>
      <c r="V804" s="19"/>
      <c r="W804" s="19"/>
      <c r="X804" s="19"/>
      <c r="Y804" s="19"/>
      <c r="Z804" s="376">
        <f t="shared" si="178"/>
        <v>0</v>
      </c>
      <c r="AA804" s="19"/>
      <c r="AB804" s="376">
        <f t="shared" si="179"/>
        <v>0</v>
      </c>
      <c r="AC804" s="38">
        <f t="shared" si="154"/>
        <v>0</v>
      </c>
      <c r="AD804" s="19"/>
    </row>
    <row r="805" spans="1:30" ht="31.5" x14ac:dyDescent="0.25">
      <c r="A805" s="74">
        <v>802</v>
      </c>
      <c r="B805" s="22">
        <v>44056</v>
      </c>
      <c r="C805" s="148" t="s">
        <v>5698</v>
      </c>
      <c r="D805" s="148"/>
      <c r="E805" s="148" t="s">
        <v>457</v>
      </c>
      <c r="F805" s="101" t="s">
        <v>5700</v>
      </c>
      <c r="G805" s="10"/>
      <c r="H805" s="101" t="s">
        <v>168</v>
      </c>
      <c r="I805" s="148" t="s">
        <v>5699</v>
      </c>
      <c r="J805" s="10"/>
      <c r="K805" s="10"/>
      <c r="L805" s="19"/>
      <c r="M805" s="13"/>
      <c r="N805" s="249"/>
      <c r="O805" s="693" t="s">
        <v>4918</v>
      </c>
      <c r="P805" s="693" t="s">
        <v>180</v>
      </c>
      <c r="Q805" s="365">
        <v>300</v>
      </c>
      <c r="R805" s="364">
        <v>500000</v>
      </c>
      <c r="S805" s="365">
        <v>300000</v>
      </c>
      <c r="T805" s="219">
        <f t="shared" ref="T805" si="180">R805+S805</f>
        <v>800000</v>
      </c>
      <c r="U805" s="19"/>
      <c r="V805" s="19"/>
      <c r="W805" s="19"/>
      <c r="X805" s="19"/>
      <c r="Y805" s="165">
        <v>0.4</v>
      </c>
      <c r="Z805" s="376">
        <f t="shared" si="178"/>
        <v>320000</v>
      </c>
      <c r="AA805" s="19"/>
      <c r="AB805" s="376">
        <f t="shared" si="179"/>
        <v>520000</v>
      </c>
      <c r="AC805" s="38">
        <f t="shared" si="154"/>
        <v>200000</v>
      </c>
      <c r="AD805" s="19" t="s">
        <v>5702</v>
      </c>
    </row>
    <row r="806" spans="1:30" ht="47.25" x14ac:dyDescent="0.25">
      <c r="A806" s="311">
        <v>803</v>
      </c>
      <c r="B806" s="373">
        <v>44056</v>
      </c>
      <c r="C806" s="148" t="s">
        <v>5703</v>
      </c>
      <c r="D806" s="148"/>
      <c r="E806" s="148" t="s">
        <v>3646</v>
      </c>
      <c r="F806" s="101" t="s">
        <v>5704</v>
      </c>
      <c r="G806" s="10"/>
      <c r="H806" s="101" t="s">
        <v>168</v>
      </c>
      <c r="I806" s="148" t="s">
        <v>5705</v>
      </c>
      <c r="J806" s="37" t="s">
        <v>5706</v>
      </c>
      <c r="K806" s="10"/>
      <c r="L806" s="19"/>
      <c r="M806" s="13"/>
      <c r="N806" s="249"/>
      <c r="O806" s="19" t="s">
        <v>5697</v>
      </c>
      <c r="P806" s="19"/>
      <c r="Q806" s="19"/>
      <c r="R806" s="13"/>
      <c r="S806" s="19"/>
      <c r="T806" s="19"/>
      <c r="U806" s="19"/>
      <c r="V806" s="19"/>
      <c r="W806" s="19"/>
      <c r="X806" s="19"/>
      <c r="Y806" s="19"/>
      <c r="Z806" s="605">
        <f t="shared" si="178"/>
        <v>0</v>
      </c>
      <c r="AA806" s="19"/>
      <c r="AB806" s="376">
        <f t="shared" si="179"/>
        <v>0</v>
      </c>
      <c r="AC806" s="607">
        <f t="shared" si="154"/>
        <v>0</v>
      </c>
      <c r="AD806" s="19"/>
    </row>
    <row r="807" spans="1:30" ht="47.25" x14ac:dyDescent="0.25">
      <c r="A807" s="113">
        <v>804</v>
      </c>
      <c r="B807" s="22">
        <v>44056</v>
      </c>
      <c r="C807" s="148" t="s">
        <v>5707</v>
      </c>
      <c r="D807" s="148"/>
      <c r="E807" s="148" t="s">
        <v>3646</v>
      </c>
      <c r="F807" s="101" t="s">
        <v>5709</v>
      </c>
      <c r="G807" s="10"/>
      <c r="H807" s="101" t="s">
        <v>168</v>
      </c>
      <c r="I807" s="148" t="s">
        <v>5708</v>
      </c>
      <c r="J807" s="10" t="s">
        <v>5711</v>
      </c>
      <c r="K807" s="310" t="s">
        <v>5710</v>
      </c>
      <c r="L807" s="19"/>
      <c r="M807" s="13"/>
      <c r="N807" s="249"/>
      <c r="O807" s="693" t="s">
        <v>5712</v>
      </c>
      <c r="P807" s="693" t="s">
        <v>180</v>
      </c>
      <c r="Q807" s="19"/>
      <c r="R807" s="13">
        <v>500000</v>
      </c>
      <c r="S807" s="19"/>
      <c r="T807" s="19">
        <v>500000</v>
      </c>
      <c r="U807" s="19"/>
      <c r="V807" s="19"/>
      <c r="W807" s="19"/>
      <c r="X807" s="19"/>
      <c r="Y807" s="19"/>
      <c r="Z807" s="376">
        <f t="shared" si="178"/>
        <v>0</v>
      </c>
      <c r="AA807" s="19"/>
      <c r="AB807" s="376">
        <f t="shared" si="179"/>
        <v>325000</v>
      </c>
      <c r="AC807" s="38">
        <f t="shared" si="154"/>
        <v>325000</v>
      </c>
      <c r="AD807" s="19" t="s">
        <v>5713</v>
      </c>
    </row>
    <row r="808" spans="1:30" s="272" customFormat="1" ht="47.25" x14ac:dyDescent="0.25">
      <c r="A808" s="74">
        <v>805</v>
      </c>
      <c r="B808" s="373">
        <v>44056</v>
      </c>
      <c r="C808" s="358" t="s">
        <v>5714</v>
      </c>
      <c r="D808" s="358"/>
      <c r="E808" s="358" t="s">
        <v>309</v>
      </c>
      <c r="F808" s="335" t="s">
        <v>5716</v>
      </c>
      <c r="G808" s="269"/>
      <c r="H808" s="335" t="s">
        <v>1639</v>
      </c>
      <c r="I808" s="358" t="s">
        <v>5715</v>
      </c>
      <c r="J808" s="269"/>
      <c r="K808" s="269"/>
      <c r="L808" s="266"/>
      <c r="M808" s="278"/>
      <c r="N808" s="439"/>
      <c r="O808" s="649" t="s">
        <v>4918</v>
      </c>
      <c r="P808" s="649" t="s">
        <v>180</v>
      </c>
      <c r="Q808" s="508">
        <v>300</v>
      </c>
      <c r="R808" s="415">
        <v>500000</v>
      </c>
      <c r="S808" s="508">
        <v>300000</v>
      </c>
      <c r="T808" s="280">
        <f t="shared" ref="T808" si="181">R808+S808</f>
        <v>800000</v>
      </c>
      <c r="U808" s="266"/>
      <c r="V808" s="266"/>
      <c r="W808" s="266"/>
      <c r="X808" s="266"/>
      <c r="Y808" s="271">
        <v>0.35</v>
      </c>
      <c r="Z808" s="605">
        <f t="shared" si="178"/>
        <v>280000</v>
      </c>
      <c r="AA808" s="266"/>
      <c r="AB808" s="605">
        <f t="shared" si="179"/>
        <v>520000</v>
      </c>
      <c r="AC808" s="607">
        <f t="shared" si="154"/>
        <v>240000</v>
      </c>
      <c r="AD808" s="266"/>
    </row>
    <row r="809" spans="1:30" ht="47.25" x14ac:dyDescent="0.25">
      <c r="A809" s="311">
        <v>806</v>
      </c>
      <c r="B809" s="22">
        <v>44056</v>
      </c>
      <c r="C809" s="148" t="s">
        <v>5717</v>
      </c>
      <c r="D809" s="148" t="s">
        <v>350</v>
      </c>
      <c r="E809" s="148" t="s">
        <v>3646</v>
      </c>
      <c r="F809" s="101" t="s">
        <v>5719</v>
      </c>
      <c r="G809" s="10"/>
      <c r="H809" s="101" t="s">
        <v>345</v>
      </c>
      <c r="I809" s="148" t="s">
        <v>5718</v>
      </c>
      <c r="J809" s="37" t="s">
        <v>5720</v>
      </c>
      <c r="K809" s="10"/>
      <c r="L809" s="19"/>
      <c r="M809" s="13"/>
      <c r="N809" s="249"/>
      <c r="O809" s="19" t="s">
        <v>5697</v>
      </c>
      <c r="P809" s="19"/>
      <c r="Q809" s="19"/>
      <c r="R809" s="13"/>
      <c r="S809" s="19"/>
      <c r="T809" s="19"/>
      <c r="U809" s="19"/>
      <c r="V809" s="19"/>
      <c r="W809" s="19"/>
      <c r="X809" s="19"/>
      <c r="Y809" s="19"/>
      <c r="Z809" s="376">
        <f t="shared" si="178"/>
        <v>0</v>
      </c>
      <c r="AA809" s="19"/>
      <c r="AB809" s="376">
        <f t="shared" si="179"/>
        <v>0</v>
      </c>
      <c r="AC809" s="38">
        <f t="shared" si="154"/>
        <v>0</v>
      </c>
      <c r="AD809" s="19"/>
    </row>
    <row r="810" spans="1:30" s="481" customFormat="1" ht="47.25" x14ac:dyDescent="0.25">
      <c r="A810" s="714">
        <v>807</v>
      </c>
      <c r="B810" s="476">
        <v>44056</v>
      </c>
      <c r="C810" s="477" t="s">
        <v>5717</v>
      </c>
      <c r="D810" s="477" t="s">
        <v>350</v>
      </c>
      <c r="E810" s="477" t="s">
        <v>3646</v>
      </c>
      <c r="F810" s="478" t="s">
        <v>5719</v>
      </c>
      <c r="G810" s="274"/>
      <c r="H810" s="478" t="s">
        <v>345</v>
      </c>
      <c r="I810" s="477" t="s">
        <v>5718</v>
      </c>
      <c r="J810" s="540" t="s">
        <v>5720</v>
      </c>
      <c r="K810" s="274" t="s">
        <v>6600</v>
      </c>
      <c r="L810" s="274"/>
      <c r="M810" s="273"/>
      <c r="N810" s="479"/>
      <c r="O810" s="649" t="s">
        <v>4918</v>
      </c>
      <c r="P810" s="649" t="s">
        <v>94</v>
      </c>
      <c r="Q810" s="508">
        <v>300</v>
      </c>
      <c r="R810" s="415"/>
      <c r="S810" s="508">
        <v>300000</v>
      </c>
      <c r="T810" s="280">
        <f t="shared" ref="T810:T811" si="182">R810+S810</f>
        <v>300000</v>
      </c>
      <c r="U810" s="274"/>
      <c r="V810" s="274"/>
      <c r="W810" s="274"/>
      <c r="X810" s="274"/>
      <c r="Y810" s="480">
        <v>0.4</v>
      </c>
      <c r="Z810" s="605">
        <f t="shared" si="178"/>
        <v>120000</v>
      </c>
      <c r="AA810" s="274"/>
      <c r="AB810" s="605">
        <f t="shared" si="179"/>
        <v>195000</v>
      </c>
      <c r="AC810" s="605">
        <f t="shared" si="154"/>
        <v>75000</v>
      </c>
      <c r="AD810" s="274"/>
    </row>
    <row r="811" spans="1:30" s="272" customFormat="1" ht="47.25" x14ac:dyDescent="0.25">
      <c r="A811" s="74">
        <v>808</v>
      </c>
      <c r="B811" s="373">
        <v>44056</v>
      </c>
      <c r="C811" s="358" t="s">
        <v>5721</v>
      </c>
      <c r="D811" s="358"/>
      <c r="E811" s="358" t="s">
        <v>309</v>
      </c>
      <c r="F811" s="335" t="s">
        <v>5724</v>
      </c>
      <c r="G811" s="269"/>
      <c r="H811" s="335" t="s">
        <v>168</v>
      </c>
      <c r="I811" s="358" t="s">
        <v>5723</v>
      </c>
      <c r="J811" s="269" t="s">
        <v>5722</v>
      </c>
      <c r="K811" s="269"/>
      <c r="L811" s="266"/>
      <c r="M811" s="278"/>
      <c r="N811" s="439"/>
      <c r="O811" s="649" t="s">
        <v>4918</v>
      </c>
      <c r="P811" s="649" t="s">
        <v>180</v>
      </c>
      <c r="Q811" s="508">
        <v>300</v>
      </c>
      <c r="R811" s="415">
        <v>500000</v>
      </c>
      <c r="S811" s="508">
        <v>300000</v>
      </c>
      <c r="T811" s="280">
        <f t="shared" si="182"/>
        <v>800000</v>
      </c>
      <c r="U811" s="266"/>
      <c r="V811" s="266"/>
      <c r="W811" s="266"/>
      <c r="X811" s="266"/>
      <c r="Y811" s="271">
        <v>0.35</v>
      </c>
      <c r="Z811" s="605">
        <f t="shared" si="178"/>
        <v>280000</v>
      </c>
      <c r="AA811" s="266"/>
      <c r="AB811" s="605">
        <f t="shared" si="179"/>
        <v>520000</v>
      </c>
      <c r="AC811" s="607">
        <f t="shared" si="154"/>
        <v>240000</v>
      </c>
      <c r="AD811" s="266"/>
    </row>
    <row r="812" spans="1:30" s="272" customFormat="1" ht="47.25" x14ac:dyDescent="0.25">
      <c r="A812" s="311">
        <v>809</v>
      </c>
      <c r="B812" s="373">
        <v>44056</v>
      </c>
      <c r="C812" s="358" t="s">
        <v>5725</v>
      </c>
      <c r="D812" s="358"/>
      <c r="E812" s="358" t="s">
        <v>309</v>
      </c>
      <c r="F812" s="335" t="s">
        <v>5727</v>
      </c>
      <c r="G812" s="269"/>
      <c r="H812" s="335" t="s">
        <v>168</v>
      </c>
      <c r="I812" s="358" t="s">
        <v>5726</v>
      </c>
      <c r="J812" s="269"/>
      <c r="K812" s="380" t="s">
        <v>5728</v>
      </c>
      <c r="L812" s="266"/>
      <c r="M812" s="278"/>
      <c r="N812" s="439"/>
      <c r="O812" s="649" t="s">
        <v>4918</v>
      </c>
      <c r="P812" s="649" t="s">
        <v>180</v>
      </c>
      <c r="Q812" s="508">
        <v>300</v>
      </c>
      <c r="R812" s="415">
        <v>500000</v>
      </c>
      <c r="S812" s="508">
        <v>300000</v>
      </c>
      <c r="T812" s="280">
        <f t="shared" ref="T812" si="183">R812+S812</f>
        <v>800000</v>
      </c>
      <c r="U812" s="266"/>
      <c r="V812" s="266"/>
      <c r="W812" s="266"/>
      <c r="X812" s="266"/>
      <c r="Y812" s="271">
        <v>0.35</v>
      </c>
      <c r="Z812" s="605">
        <f t="shared" si="178"/>
        <v>280000</v>
      </c>
      <c r="AA812" s="266"/>
      <c r="AB812" s="605">
        <f t="shared" si="179"/>
        <v>520000</v>
      </c>
      <c r="AC812" s="607">
        <f t="shared" si="154"/>
        <v>240000</v>
      </c>
      <c r="AD812" s="266"/>
    </row>
    <row r="813" spans="1:30" ht="31.5" x14ac:dyDescent="0.25">
      <c r="A813" s="113">
        <v>810</v>
      </c>
      <c r="B813" s="22">
        <v>44056</v>
      </c>
      <c r="C813" s="148" t="s">
        <v>5729</v>
      </c>
      <c r="D813" s="148"/>
      <c r="E813" s="148" t="s">
        <v>3646</v>
      </c>
      <c r="F813" s="101" t="s">
        <v>5731</v>
      </c>
      <c r="G813" s="10"/>
      <c r="H813" s="101" t="s">
        <v>246</v>
      </c>
      <c r="I813" s="148" t="s">
        <v>5730</v>
      </c>
      <c r="J813" s="37" t="s">
        <v>5732</v>
      </c>
      <c r="K813" s="10"/>
      <c r="L813" s="19"/>
      <c r="M813" s="13"/>
      <c r="N813" s="249"/>
      <c r="O813" s="693" t="s">
        <v>4918</v>
      </c>
      <c r="P813" s="693" t="s">
        <v>180</v>
      </c>
      <c r="Q813" s="365">
        <v>300</v>
      </c>
      <c r="R813" s="364">
        <v>500000</v>
      </c>
      <c r="S813" s="365">
        <v>300000</v>
      </c>
      <c r="T813" s="219">
        <f t="shared" ref="T813" si="184">R813+S813</f>
        <v>800000</v>
      </c>
      <c r="U813" s="19"/>
      <c r="V813" s="19"/>
      <c r="W813" s="19"/>
      <c r="X813" s="19"/>
      <c r="Y813" s="19"/>
      <c r="Z813" s="376">
        <f t="shared" si="178"/>
        <v>0</v>
      </c>
      <c r="AA813" s="19"/>
      <c r="AB813" s="376">
        <f t="shared" si="179"/>
        <v>520000</v>
      </c>
      <c r="AC813" s="38">
        <f t="shared" si="154"/>
        <v>520000</v>
      </c>
      <c r="AD813" s="19" t="s">
        <v>5825</v>
      </c>
    </row>
    <row r="814" spans="1:30" ht="47.25" x14ac:dyDescent="0.25">
      <c r="A814" s="74">
        <v>811</v>
      </c>
      <c r="B814" s="22">
        <v>44056</v>
      </c>
      <c r="C814" s="148" t="s">
        <v>5733</v>
      </c>
      <c r="D814" s="148"/>
      <c r="E814" s="148" t="s">
        <v>4753</v>
      </c>
      <c r="F814" s="101" t="s">
        <v>5735</v>
      </c>
      <c r="G814" s="10"/>
      <c r="H814" s="101" t="s">
        <v>168</v>
      </c>
      <c r="I814" s="148" t="s">
        <v>5734</v>
      </c>
      <c r="J814" s="37" t="s">
        <v>5736</v>
      </c>
      <c r="K814" s="10"/>
      <c r="L814" s="19"/>
      <c r="M814" s="13"/>
      <c r="N814" s="249"/>
      <c r="O814" s="19" t="s">
        <v>1144</v>
      </c>
      <c r="P814" s="19"/>
      <c r="Q814" s="19"/>
      <c r="R814" s="13"/>
      <c r="S814" s="19"/>
      <c r="T814" s="19"/>
      <c r="U814" s="19"/>
      <c r="V814" s="19"/>
      <c r="W814" s="19"/>
      <c r="X814" s="19"/>
      <c r="Y814" s="19"/>
      <c r="Z814" s="376">
        <f t="shared" si="178"/>
        <v>0</v>
      </c>
      <c r="AA814" s="19"/>
      <c r="AB814" s="376">
        <f t="shared" si="179"/>
        <v>0</v>
      </c>
      <c r="AC814" s="38">
        <f t="shared" si="154"/>
        <v>0</v>
      </c>
      <c r="AD814" s="19"/>
    </row>
    <row r="815" spans="1:30" s="272" customFormat="1" ht="47.25" x14ac:dyDescent="0.25">
      <c r="A815" s="311">
        <v>812</v>
      </c>
      <c r="B815" s="373">
        <v>44056</v>
      </c>
      <c r="C815" s="358" t="s">
        <v>5737</v>
      </c>
      <c r="D815" s="358"/>
      <c r="E815" s="358" t="s">
        <v>3479</v>
      </c>
      <c r="F815" s="335" t="s">
        <v>5739</v>
      </c>
      <c r="G815" s="269"/>
      <c r="H815" s="335" t="s">
        <v>168</v>
      </c>
      <c r="I815" s="358" t="s">
        <v>5738</v>
      </c>
      <c r="J815" s="269"/>
      <c r="K815" s="269"/>
      <c r="L815" s="266"/>
      <c r="M815" s="278"/>
      <c r="N815" s="439"/>
      <c r="O815" s="649" t="s">
        <v>4918</v>
      </c>
      <c r="P815" s="649" t="s">
        <v>180</v>
      </c>
      <c r="Q815" s="508">
        <v>300</v>
      </c>
      <c r="R815" s="415">
        <v>500000</v>
      </c>
      <c r="S815" s="508">
        <v>300000</v>
      </c>
      <c r="T815" s="280">
        <f t="shared" ref="T815" si="185">R815+S815</f>
        <v>800000</v>
      </c>
      <c r="U815" s="266"/>
      <c r="V815" s="266"/>
      <c r="W815" s="266"/>
      <c r="X815" s="266"/>
      <c r="Y815" s="271">
        <v>0.35</v>
      </c>
      <c r="Z815" s="605">
        <f t="shared" si="178"/>
        <v>280000</v>
      </c>
      <c r="AA815" s="266"/>
      <c r="AB815" s="605">
        <f t="shared" si="179"/>
        <v>520000</v>
      </c>
      <c r="AC815" s="607">
        <f t="shared" si="154"/>
        <v>240000</v>
      </c>
      <c r="AD815" s="266"/>
    </row>
    <row r="816" spans="1:30" ht="47.25" x14ac:dyDescent="0.25">
      <c r="A816" s="113">
        <v>813</v>
      </c>
      <c r="B816" s="22">
        <v>44056</v>
      </c>
      <c r="C816" s="148" t="s">
        <v>5740</v>
      </c>
      <c r="D816" s="148"/>
      <c r="E816" s="148" t="s">
        <v>3479</v>
      </c>
      <c r="F816" s="101" t="s">
        <v>5742</v>
      </c>
      <c r="G816" s="10"/>
      <c r="H816" s="101" t="s">
        <v>168</v>
      </c>
      <c r="I816" s="148" t="s">
        <v>5741</v>
      </c>
      <c r="J816" s="10"/>
      <c r="K816" s="10"/>
      <c r="L816" s="19"/>
      <c r="M816" s="13"/>
      <c r="N816" s="249"/>
      <c r="O816" s="19" t="s">
        <v>4483</v>
      </c>
      <c r="P816" s="19"/>
      <c r="Q816" s="19"/>
      <c r="R816" s="13"/>
      <c r="S816" s="19"/>
      <c r="T816" s="19"/>
      <c r="U816" s="19"/>
      <c r="V816" s="19"/>
      <c r="W816" s="19"/>
      <c r="X816" s="19"/>
      <c r="Y816" s="19"/>
      <c r="Z816" s="376">
        <f t="shared" si="178"/>
        <v>0</v>
      </c>
      <c r="AA816" s="19"/>
      <c r="AB816" s="376">
        <f t="shared" si="179"/>
        <v>0</v>
      </c>
      <c r="AC816" s="38">
        <f t="shared" si="154"/>
        <v>0</v>
      </c>
      <c r="AD816" s="19"/>
    </row>
    <row r="817" spans="1:30" ht="47.25" x14ac:dyDescent="0.25">
      <c r="A817" s="74">
        <v>814</v>
      </c>
      <c r="B817" s="22">
        <v>44056</v>
      </c>
      <c r="C817" s="148" t="s">
        <v>5743</v>
      </c>
      <c r="D817" s="148"/>
      <c r="E817" s="148" t="s">
        <v>3479</v>
      </c>
      <c r="F817" s="101" t="s">
        <v>5744</v>
      </c>
      <c r="G817" s="10"/>
      <c r="H817" s="101" t="s">
        <v>168</v>
      </c>
      <c r="I817" s="148" t="s">
        <v>5745</v>
      </c>
      <c r="J817" s="10"/>
      <c r="K817" s="10"/>
      <c r="L817" s="19"/>
      <c r="M817" s="13"/>
      <c r="N817" s="249"/>
      <c r="O817" s="19" t="s">
        <v>4483</v>
      </c>
      <c r="P817" s="19"/>
      <c r="Q817" s="19"/>
      <c r="R817" s="13"/>
      <c r="S817" s="19"/>
      <c r="T817" s="19"/>
      <c r="U817" s="19"/>
      <c r="V817" s="19"/>
      <c r="W817" s="19"/>
      <c r="X817" s="19"/>
      <c r="Y817" s="19"/>
      <c r="Z817" s="376">
        <f t="shared" si="178"/>
        <v>0</v>
      </c>
      <c r="AA817" s="19"/>
      <c r="AB817" s="376">
        <f t="shared" si="179"/>
        <v>0</v>
      </c>
      <c r="AC817" s="38">
        <f t="shared" si="154"/>
        <v>0</v>
      </c>
      <c r="AD817" s="19"/>
    </row>
    <row r="818" spans="1:30" ht="47.25" x14ac:dyDescent="0.25">
      <c r="A818" s="311">
        <v>815</v>
      </c>
      <c r="B818" s="373">
        <v>44056</v>
      </c>
      <c r="C818" s="148" t="s">
        <v>5746</v>
      </c>
      <c r="D818" s="148"/>
      <c r="E818" s="148" t="s">
        <v>3479</v>
      </c>
      <c r="F818" s="101" t="s">
        <v>5748</v>
      </c>
      <c r="G818" s="10"/>
      <c r="H818" s="101" t="s">
        <v>1639</v>
      </c>
      <c r="I818" s="148" t="s">
        <v>5747</v>
      </c>
      <c r="J818" s="10"/>
      <c r="K818" s="10"/>
      <c r="L818" s="19"/>
      <c r="M818" s="13"/>
      <c r="N818" s="249"/>
      <c r="O818" s="19" t="s">
        <v>4483</v>
      </c>
      <c r="P818" s="19"/>
      <c r="Q818" s="19"/>
      <c r="R818" s="13"/>
      <c r="S818" s="19"/>
      <c r="T818" s="19"/>
      <c r="U818" s="19"/>
      <c r="V818" s="19"/>
      <c r="W818" s="19"/>
      <c r="X818" s="19"/>
      <c r="Y818" s="19"/>
      <c r="Z818" s="605">
        <f t="shared" si="178"/>
        <v>0</v>
      </c>
      <c r="AA818" s="19"/>
      <c r="AB818" s="376">
        <f t="shared" si="179"/>
        <v>0</v>
      </c>
      <c r="AC818" s="607">
        <f t="shared" si="154"/>
        <v>0</v>
      </c>
      <c r="AD818" s="19"/>
    </row>
    <row r="819" spans="1:30" ht="47.25" x14ac:dyDescent="0.25">
      <c r="A819" s="113">
        <v>816</v>
      </c>
      <c r="B819" s="373">
        <v>44056</v>
      </c>
      <c r="C819" s="148" t="s">
        <v>5542</v>
      </c>
      <c r="D819" s="148"/>
      <c r="E819" s="148" t="s">
        <v>3479</v>
      </c>
      <c r="F819" s="101" t="s">
        <v>5543</v>
      </c>
      <c r="G819" s="10"/>
      <c r="H819" s="101" t="s">
        <v>168</v>
      </c>
      <c r="I819" s="148" t="s">
        <v>5544</v>
      </c>
      <c r="J819" s="10"/>
      <c r="K819" s="10"/>
      <c r="L819" s="19"/>
      <c r="M819" s="13"/>
      <c r="N819" s="249"/>
      <c r="O819" s="19" t="s">
        <v>4576</v>
      </c>
      <c r="P819" s="19"/>
      <c r="Q819" s="19"/>
      <c r="R819" s="13"/>
      <c r="S819" s="19"/>
      <c r="T819" s="19"/>
      <c r="U819" s="19"/>
      <c r="V819" s="19"/>
      <c r="W819" s="19"/>
      <c r="X819" s="19"/>
      <c r="Y819" s="19"/>
      <c r="Z819" s="605">
        <f t="shared" si="178"/>
        <v>0</v>
      </c>
      <c r="AA819" s="19"/>
      <c r="AB819" s="376">
        <f t="shared" si="179"/>
        <v>0</v>
      </c>
      <c r="AC819" s="607">
        <f t="shared" si="154"/>
        <v>0</v>
      </c>
      <c r="AD819" s="19"/>
    </row>
    <row r="820" spans="1:30" s="272" customFormat="1" ht="31.5" x14ac:dyDescent="0.25">
      <c r="A820" s="74">
        <v>817</v>
      </c>
      <c r="B820" s="373">
        <v>44056</v>
      </c>
      <c r="C820" s="358" t="s">
        <v>5751</v>
      </c>
      <c r="D820" s="358" t="s">
        <v>5750</v>
      </c>
      <c r="E820" s="358" t="s">
        <v>309</v>
      </c>
      <c r="F820" s="335" t="s">
        <v>5749</v>
      </c>
      <c r="G820" s="269"/>
      <c r="H820" s="335" t="s">
        <v>168</v>
      </c>
      <c r="I820" s="358" t="s">
        <v>5752</v>
      </c>
      <c r="J820" s="269"/>
      <c r="K820" s="269"/>
      <c r="L820" s="266"/>
      <c r="M820" s="278"/>
      <c r="N820" s="439"/>
      <c r="O820" s="649" t="s">
        <v>4918</v>
      </c>
      <c r="P820" s="649" t="s">
        <v>180</v>
      </c>
      <c r="Q820" s="508">
        <v>300</v>
      </c>
      <c r="R820" s="415">
        <v>500000</v>
      </c>
      <c r="S820" s="508">
        <v>300000</v>
      </c>
      <c r="T820" s="280">
        <f t="shared" ref="T820" si="186">R820+S820</f>
        <v>800000</v>
      </c>
      <c r="U820" s="266"/>
      <c r="V820" s="266"/>
      <c r="W820" s="266"/>
      <c r="X820" s="266"/>
      <c r="Y820" s="271">
        <v>0.35</v>
      </c>
      <c r="Z820" s="605">
        <f t="shared" si="178"/>
        <v>280000</v>
      </c>
      <c r="AA820" s="266"/>
      <c r="AB820" s="605">
        <f t="shared" si="179"/>
        <v>520000</v>
      </c>
      <c r="AC820" s="607">
        <f t="shared" si="154"/>
        <v>240000</v>
      </c>
      <c r="AD820" s="266"/>
    </row>
    <row r="821" spans="1:30" ht="47.25" x14ac:dyDescent="0.25">
      <c r="A821" s="311">
        <v>818</v>
      </c>
      <c r="B821" s="22">
        <v>44056</v>
      </c>
      <c r="C821" s="148" t="s">
        <v>5753</v>
      </c>
      <c r="D821" s="148" t="s">
        <v>4125</v>
      </c>
      <c r="E821" s="148" t="s">
        <v>4753</v>
      </c>
      <c r="F821" s="101" t="s">
        <v>5756</v>
      </c>
      <c r="G821" s="10"/>
      <c r="H821" s="101" t="s">
        <v>5755</v>
      </c>
      <c r="I821" s="148" t="s">
        <v>5754</v>
      </c>
      <c r="J821" s="10"/>
      <c r="K821" s="10"/>
      <c r="L821" s="19"/>
      <c r="M821" s="13"/>
      <c r="N821" s="249"/>
      <c r="O821" s="633" t="s">
        <v>4933</v>
      </c>
      <c r="P821" s="633" t="s">
        <v>180</v>
      </c>
      <c r="Q821" s="19">
        <v>1000</v>
      </c>
      <c r="R821" s="13">
        <v>500000</v>
      </c>
      <c r="S821" s="19">
        <v>675000</v>
      </c>
      <c r="T821" s="247">
        <f>S821+R821</f>
        <v>1175000</v>
      </c>
      <c r="U821" s="19"/>
      <c r="V821" s="19"/>
      <c r="W821" s="19"/>
      <c r="X821" s="19"/>
      <c r="Y821" s="165">
        <v>0.1</v>
      </c>
      <c r="Z821" s="376">
        <f t="shared" si="178"/>
        <v>117500</v>
      </c>
      <c r="AA821" s="19"/>
      <c r="AB821" s="376">
        <f t="shared" si="179"/>
        <v>763750</v>
      </c>
      <c r="AC821" s="38">
        <f t="shared" si="154"/>
        <v>646250</v>
      </c>
      <c r="AD821" s="19" t="s">
        <v>5757</v>
      </c>
    </row>
    <row r="822" spans="1:30" ht="63" x14ac:dyDescent="0.25">
      <c r="A822" s="113">
        <v>819</v>
      </c>
      <c r="B822" s="22">
        <v>44056</v>
      </c>
      <c r="C822" s="148" t="s">
        <v>5758</v>
      </c>
      <c r="D822" s="148"/>
      <c r="E822" s="148" t="s">
        <v>4753</v>
      </c>
      <c r="F822" s="101" t="s">
        <v>5759</v>
      </c>
      <c r="G822" s="10"/>
      <c r="H822" s="101" t="s">
        <v>849</v>
      </c>
      <c r="I822" s="148" t="s">
        <v>5760</v>
      </c>
      <c r="J822" s="10"/>
      <c r="K822" s="10"/>
      <c r="L822" s="19"/>
      <c r="M822" s="13"/>
      <c r="N822" s="249"/>
      <c r="O822" s="633" t="s">
        <v>4933</v>
      </c>
      <c r="P822" s="633" t="s">
        <v>180</v>
      </c>
      <c r="Q822" s="19">
        <v>1000</v>
      </c>
      <c r="R822" s="13">
        <v>500000</v>
      </c>
      <c r="S822" s="19">
        <v>675000</v>
      </c>
      <c r="T822" s="247">
        <f>S822+R822</f>
        <v>1175000</v>
      </c>
      <c r="U822" s="19"/>
      <c r="V822" s="19"/>
      <c r="W822" s="19"/>
      <c r="X822" s="19"/>
      <c r="Y822" s="165">
        <v>0.1</v>
      </c>
      <c r="Z822" s="376">
        <f t="shared" si="178"/>
        <v>117500</v>
      </c>
      <c r="AA822" s="19"/>
      <c r="AB822" s="376">
        <f t="shared" si="179"/>
        <v>763750</v>
      </c>
      <c r="AC822" s="38">
        <f t="shared" si="154"/>
        <v>646250</v>
      </c>
      <c r="AD822" s="19" t="s">
        <v>5757</v>
      </c>
    </row>
    <row r="823" spans="1:30" ht="47.25" x14ac:dyDescent="0.25">
      <c r="A823" s="74">
        <v>820</v>
      </c>
      <c r="B823" s="373">
        <v>44056</v>
      </c>
      <c r="C823" s="148" t="s">
        <v>5761</v>
      </c>
      <c r="D823" s="148"/>
      <c r="E823" s="148" t="s">
        <v>2404</v>
      </c>
      <c r="F823" s="101"/>
      <c r="G823" s="10"/>
      <c r="H823" s="101" t="s">
        <v>1177</v>
      </c>
      <c r="I823" s="148" t="s">
        <v>5762</v>
      </c>
      <c r="J823" s="10"/>
      <c r="K823" s="10"/>
      <c r="L823" s="19"/>
      <c r="M823" s="13"/>
      <c r="N823" s="249"/>
      <c r="O823" s="19" t="s">
        <v>5697</v>
      </c>
      <c r="P823" s="19"/>
      <c r="Q823" s="19"/>
      <c r="R823" s="13"/>
      <c r="S823" s="19"/>
      <c r="T823" s="19"/>
      <c r="U823" s="19"/>
      <c r="V823" s="19"/>
      <c r="W823" s="19"/>
      <c r="X823" s="19"/>
      <c r="Y823" s="19"/>
      <c r="Z823" s="605">
        <f t="shared" si="178"/>
        <v>0</v>
      </c>
      <c r="AA823" s="19"/>
      <c r="AB823" s="376">
        <f t="shared" si="179"/>
        <v>0</v>
      </c>
      <c r="AC823" s="607">
        <f t="shared" si="154"/>
        <v>0</v>
      </c>
      <c r="AD823" s="19"/>
    </row>
    <row r="824" spans="1:30" ht="47.25" x14ac:dyDescent="0.25">
      <c r="A824" s="311">
        <v>821</v>
      </c>
      <c r="B824" s="373">
        <v>44057</v>
      </c>
      <c r="C824" s="148" t="s">
        <v>5763</v>
      </c>
      <c r="D824" s="148"/>
      <c r="E824" s="148" t="s">
        <v>2404</v>
      </c>
      <c r="F824" s="101" t="s">
        <v>5765</v>
      </c>
      <c r="G824" s="10"/>
      <c r="H824" s="101" t="s">
        <v>1177</v>
      </c>
      <c r="I824" s="148" t="s">
        <v>5764</v>
      </c>
      <c r="J824" s="10"/>
      <c r="K824" s="10"/>
      <c r="L824" s="19"/>
      <c r="M824" s="13"/>
      <c r="N824" s="249"/>
      <c r="O824" s="19" t="s">
        <v>4576</v>
      </c>
      <c r="P824" s="19"/>
      <c r="Q824" s="19"/>
      <c r="R824" s="13"/>
      <c r="S824" s="19"/>
      <c r="T824" s="19"/>
      <c r="U824" s="19"/>
      <c r="V824" s="19"/>
      <c r="W824" s="19"/>
      <c r="X824" s="19"/>
      <c r="Y824" s="19"/>
      <c r="Z824" s="605">
        <f t="shared" si="178"/>
        <v>0</v>
      </c>
      <c r="AA824" s="19"/>
      <c r="AB824" s="376">
        <f t="shared" si="179"/>
        <v>0</v>
      </c>
      <c r="AC824" s="607">
        <f t="shared" ref="AC824:AC887" si="187">AB824-Z824</f>
        <v>0</v>
      </c>
      <c r="AD824" s="19"/>
    </row>
    <row r="825" spans="1:30" s="272" customFormat="1" ht="47.25" x14ac:dyDescent="0.25">
      <c r="A825" s="113">
        <v>822</v>
      </c>
      <c r="B825" s="373">
        <v>44057</v>
      </c>
      <c r="C825" s="358" t="s">
        <v>5763</v>
      </c>
      <c r="D825" s="358"/>
      <c r="E825" s="358" t="s">
        <v>2404</v>
      </c>
      <c r="F825" s="335" t="s">
        <v>5765</v>
      </c>
      <c r="G825" s="269"/>
      <c r="H825" s="335" t="s">
        <v>1177</v>
      </c>
      <c r="I825" s="358" t="s">
        <v>5764</v>
      </c>
      <c r="J825" s="269"/>
      <c r="K825" s="269"/>
      <c r="L825" s="266"/>
      <c r="M825" s="278"/>
      <c r="N825" s="439"/>
      <c r="O825" s="649" t="s">
        <v>4918</v>
      </c>
      <c r="P825" s="649" t="s">
        <v>94</v>
      </c>
      <c r="Q825" s="508">
        <v>300</v>
      </c>
      <c r="R825" s="415"/>
      <c r="S825" s="508">
        <v>300000</v>
      </c>
      <c r="T825" s="280">
        <f t="shared" ref="T825" si="188">R825+S825</f>
        <v>300000</v>
      </c>
      <c r="U825" s="266"/>
      <c r="V825" s="266"/>
      <c r="W825" s="266"/>
      <c r="X825" s="266"/>
      <c r="Y825" s="271">
        <v>0.4</v>
      </c>
      <c r="Z825" s="605">
        <f t="shared" si="178"/>
        <v>120000</v>
      </c>
      <c r="AA825" s="266"/>
      <c r="AB825" s="605">
        <f t="shared" si="179"/>
        <v>195000</v>
      </c>
      <c r="AC825" s="607">
        <f t="shared" si="187"/>
        <v>75000</v>
      </c>
      <c r="AD825" s="266"/>
    </row>
    <row r="826" spans="1:30" ht="47.25" x14ac:dyDescent="0.25">
      <c r="A826" s="74">
        <v>823</v>
      </c>
      <c r="B826" s="22">
        <v>44057</v>
      </c>
      <c r="C826" s="148" t="s">
        <v>5767</v>
      </c>
      <c r="D826" s="148"/>
      <c r="E826" s="148" t="s">
        <v>5768</v>
      </c>
      <c r="F826" s="101" t="s">
        <v>5766</v>
      </c>
      <c r="G826" s="10"/>
      <c r="H826" s="101" t="s">
        <v>168</v>
      </c>
      <c r="I826" s="148" t="s">
        <v>5769</v>
      </c>
      <c r="J826" s="10"/>
      <c r="K826" s="10"/>
      <c r="L826" s="19"/>
      <c r="M826" s="13"/>
      <c r="N826" s="249"/>
      <c r="O826" s="19" t="s">
        <v>4576</v>
      </c>
      <c r="P826" s="19"/>
      <c r="Q826" s="19"/>
      <c r="R826" s="13"/>
      <c r="S826" s="19"/>
      <c r="T826" s="19"/>
      <c r="U826" s="19"/>
      <c r="V826" s="19"/>
      <c r="W826" s="19"/>
      <c r="X826" s="19"/>
      <c r="Y826" s="19"/>
      <c r="Z826" s="376">
        <f t="shared" si="178"/>
        <v>0</v>
      </c>
      <c r="AA826" s="19"/>
      <c r="AB826" s="376">
        <f t="shared" si="179"/>
        <v>0</v>
      </c>
      <c r="AC826" s="38">
        <f t="shared" si="187"/>
        <v>0</v>
      </c>
      <c r="AD826" s="19"/>
    </row>
    <row r="827" spans="1:30" ht="31.5" x14ac:dyDescent="0.25">
      <c r="A827" s="311">
        <v>824</v>
      </c>
      <c r="B827" s="22">
        <v>44057</v>
      </c>
      <c r="C827" s="148" t="s">
        <v>5770</v>
      </c>
      <c r="D827" s="148"/>
      <c r="E827" s="148" t="s">
        <v>3646</v>
      </c>
      <c r="F827" s="101" t="s">
        <v>5771</v>
      </c>
      <c r="G827" s="10"/>
      <c r="H827" s="101" t="s">
        <v>1800</v>
      </c>
      <c r="I827" s="148" t="s">
        <v>5772</v>
      </c>
      <c r="J827" s="10"/>
      <c r="K827" s="10"/>
      <c r="L827" s="19"/>
      <c r="M827" s="13"/>
      <c r="N827" s="249"/>
      <c r="O827" s="19" t="s">
        <v>4576</v>
      </c>
      <c r="P827" s="19"/>
      <c r="Q827" s="19"/>
      <c r="R827" s="13"/>
      <c r="S827" s="19"/>
      <c r="T827" s="19"/>
      <c r="U827" s="19"/>
      <c r="V827" s="19"/>
      <c r="W827" s="19"/>
      <c r="X827" s="19"/>
      <c r="Y827" s="19"/>
      <c r="Z827" s="376">
        <f t="shared" si="178"/>
        <v>0</v>
      </c>
      <c r="AA827" s="19"/>
      <c r="AB827" s="376">
        <f t="shared" si="179"/>
        <v>0</v>
      </c>
      <c r="AC827" s="38">
        <f t="shared" si="187"/>
        <v>0</v>
      </c>
      <c r="AD827" s="19"/>
    </row>
    <row r="828" spans="1:30" ht="31.5" x14ac:dyDescent="0.25">
      <c r="A828" s="113">
        <v>825</v>
      </c>
      <c r="B828" s="22">
        <v>44057</v>
      </c>
      <c r="C828" s="148" t="s">
        <v>5775</v>
      </c>
      <c r="D828" s="148"/>
      <c r="E828" s="148" t="s">
        <v>3646</v>
      </c>
      <c r="F828" s="101" t="s">
        <v>5773</v>
      </c>
      <c r="G828" s="10"/>
      <c r="H828" s="101" t="s">
        <v>1800</v>
      </c>
      <c r="I828" s="148" t="s">
        <v>5774</v>
      </c>
      <c r="J828" s="10"/>
      <c r="K828" s="10"/>
      <c r="L828" s="19"/>
      <c r="M828" s="13"/>
      <c r="N828" s="249"/>
      <c r="O828" s="19" t="s">
        <v>4576</v>
      </c>
      <c r="P828" s="19"/>
      <c r="Q828" s="19"/>
      <c r="R828" s="13"/>
      <c r="S828" s="19"/>
      <c r="T828" s="19"/>
      <c r="U828" s="19"/>
      <c r="V828" s="19"/>
      <c r="W828" s="19"/>
      <c r="X828" s="19"/>
      <c r="Y828" s="19"/>
      <c r="Z828" s="376">
        <f t="shared" si="178"/>
        <v>0</v>
      </c>
      <c r="AA828" s="19"/>
      <c r="AB828" s="376">
        <f t="shared" si="179"/>
        <v>0</v>
      </c>
      <c r="AC828" s="38">
        <f t="shared" si="187"/>
        <v>0</v>
      </c>
      <c r="AD828" s="19"/>
    </row>
    <row r="829" spans="1:30" ht="47.25" x14ac:dyDescent="0.25">
      <c r="A829" s="74">
        <v>826</v>
      </c>
      <c r="B829" s="22">
        <v>44057</v>
      </c>
      <c r="C829" s="148" t="s">
        <v>5776</v>
      </c>
      <c r="D829" s="148"/>
      <c r="E829" s="148" t="s">
        <v>309</v>
      </c>
      <c r="F829" s="101" t="s">
        <v>5778</v>
      </c>
      <c r="G829" s="10"/>
      <c r="H829" s="101" t="s">
        <v>273</v>
      </c>
      <c r="I829" s="148" t="s">
        <v>5777</v>
      </c>
      <c r="J829" s="10"/>
      <c r="K829" s="10"/>
      <c r="L829" s="19"/>
      <c r="M829" s="13"/>
      <c r="N829" s="249"/>
      <c r="O829" s="19" t="s">
        <v>4576</v>
      </c>
      <c r="P829" s="19"/>
      <c r="Q829" s="19"/>
      <c r="R829" s="13"/>
      <c r="S829" s="19"/>
      <c r="T829" s="19"/>
      <c r="U829" s="19"/>
      <c r="V829" s="19"/>
      <c r="W829" s="19"/>
      <c r="X829" s="19"/>
      <c r="Y829" s="19"/>
      <c r="Z829" s="376">
        <f t="shared" si="178"/>
        <v>0</v>
      </c>
      <c r="AA829" s="19"/>
      <c r="AB829" s="376">
        <f t="shared" si="179"/>
        <v>0</v>
      </c>
      <c r="AC829" s="38">
        <f t="shared" si="187"/>
        <v>0</v>
      </c>
      <c r="AD829" s="19"/>
    </row>
    <row r="830" spans="1:30" ht="47.25" x14ac:dyDescent="0.25">
      <c r="A830" s="311">
        <v>827</v>
      </c>
      <c r="B830" s="373">
        <v>44057</v>
      </c>
      <c r="C830" s="148" t="s">
        <v>5779</v>
      </c>
      <c r="D830" s="148"/>
      <c r="E830" s="148" t="s">
        <v>3646</v>
      </c>
      <c r="F830" s="101" t="s">
        <v>5782</v>
      </c>
      <c r="G830" s="10"/>
      <c r="H830" s="101" t="s">
        <v>168</v>
      </c>
      <c r="I830" s="148" t="s">
        <v>5781</v>
      </c>
      <c r="J830" s="10">
        <v>979484234</v>
      </c>
      <c r="K830" s="208" t="s">
        <v>5780</v>
      </c>
      <c r="L830" s="19"/>
      <c r="M830" s="13"/>
      <c r="N830" s="249"/>
      <c r="O830" s="19" t="s">
        <v>4576</v>
      </c>
      <c r="P830" s="19"/>
      <c r="Q830" s="19"/>
      <c r="R830" s="13"/>
      <c r="S830" s="19"/>
      <c r="T830" s="19"/>
      <c r="U830" s="19"/>
      <c r="V830" s="19"/>
      <c r="W830" s="19"/>
      <c r="X830" s="19"/>
      <c r="Y830" s="19"/>
      <c r="Z830" s="605">
        <f t="shared" si="178"/>
        <v>0</v>
      </c>
      <c r="AA830" s="19"/>
      <c r="AB830" s="376">
        <f t="shared" si="179"/>
        <v>0</v>
      </c>
      <c r="AC830" s="607">
        <f t="shared" si="187"/>
        <v>0</v>
      </c>
      <c r="AD830" s="19"/>
    </row>
    <row r="831" spans="1:30" s="272" customFormat="1" ht="63" x14ac:dyDescent="0.25">
      <c r="A831" s="113">
        <v>828</v>
      </c>
      <c r="B831" s="373">
        <v>44057</v>
      </c>
      <c r="C831" s="358" t="s">
        <v>5783</v>
      </c>
      <c r="D831" s="358"/>
      <c r="E831" s="358" t="s">
        <v>2404</v>
      </c>
      <c r="F831" s="335" t="s">
        <v>5785</v>
      </c>
      <c r="G831" s="269"/>
      <c r="H831" s="335" t="s">
        <v>1177</v>
      </c>
      <c r="I831" s="358" t="s">
        <v>5784</v>
      </c>
      <c r="J831" s="269"/>
      <c r="K831" s="269"/>
      <c r="L831" s="266"/>
      <c r="M831" s="278"/>
      <c r="N831" s="439"/>
      <c r="O831" s="631" t="s">
        <v>4933</v>
      </c>
      <c r="P831" s="631" t="s">
        <v>180</v>
      </c>
      <c r="Q831" s="266">
        <v>1000</v>
      </c>
      <c r="R831" s="278"/>
      <c r="S831" s="266">
        <v>675000</v>
      </c>
      <c r="T831" s="602">
        <f>S831+R831</f>
        <v>675000</v>
      </c>
      <c r="U831" s="266"/>
      <c r="V831" s="266"/>
      <c r="W831" s="266"/>
      <c r="X831" s="266"/>
      <c r="Y831" s="271">
        <v>0.4</v>
      </c>
      <c r="Z831" s="605">
        <f t="shared" si="178"/>
        <v>270000</v>
      </c>
      <c r="AA831" s="266"/>
      <c r="AB831" s="605">
        <f t="shared" si="179"/>
        <v>438750</v>
      </c>
      <c r="AC831" s="607">
        <f t="shared" si="187"/>
        <v>168750</v>
      </c>
      <c r="AD831" s="266"/>
    </row>
    <row r="832" spans="1:30" ht="47.25" x14ac:dyDescent="0.25">
      <c r="A832" s="74">
        <v>829</v>
      </c>
      <c r="B832" s="22">
        <v>44057</v>
      </c>
      <c r="C832" s="148" t="s">
        <v>5786</v>
      </c>
      <c r="D832" s="148"/>
      <c r="E832" s="148" t="s">
        <v>3646</v>
      </c>
      <c r="F832" s="101" t="s">
        <v>5788</v>
      </c>
      <c r="G832" s="10"/>
      <c r="H832" s="101" t="s">
        <v>168</v>
      </c>
      <c r="I832" s="148" t="s">
        <v>5787</v>
      </c>
      <c r="J832" s="10"/>
      <c r="K832" s="10"/>
      <c r="L832" s="19"/>
      <c r="M832" s="13"/>
      <c r="N832" s="249"/>
      <c r="O832" s="693" t="s">
        <v>4918</v>
      </c>
      <c r="P832" s="693" t="s">
        <v>94</v>
      </c>
      <c r="Q832" s="365">
        <v>300</v>
      </c>
      <c r="R832" s="364"/>
      <c r="S832" s="365">
        <v>300000</v>
      </c>
      <c r="T832" s="219">
        <f t="shared" ref="T832" si="189">R832+S832</f>
        <v>300000</v>
      </c>
      <c r="U832" s="19"/>
      <c r="V832" s="19"/>
      <c r="W832" s="19"/>
      <c r="X832" s="19"/>
      <c r="Y832" s="19"/>
      <c r="Z832" s="376">
        <f t="shared" si="178"/>
        <v>0</v>
      </c>
      <c r="AA832" s="19"/>
      <c r="AB832" s="376">
        <f t="shared" si="179"/>
        <v>195000</v>
      </c>
      <c r="AC832" s="38">
        <f t="shared" si="187"/>
        <v>195000</v>
      </c>
      <c r="AD832" s="19" t="s">
        <v>783</v>
      </c>
    </row>
    <row r="833" spans="1:30" ht="47.25" x14ac:dyDescent="0.25">
      <c r="A833" s="311">
        <v>830</v>
      </c>
      <c r="B833" s="22">
        <v>44057</v>
      </c>
      <c r="C833" s="148" t="s">
        <v>5789</v>
      </c>
      <c r="D833" s="148"/>
      <c r="E833" s="148" t="s">
        <v>3646</v>
      </c>
      <c r="F833" s="101" t="s">
        <v>5791</v>
      </c>
      <c r="G833" s="10"/>
      <c r="H833" s="101" t="s">
        <v>5425</v>
      </c>
      <c r="I833" s="148" t="s">
        <v>5790</v>
      </c>
      <c r="J833" s="10" t="s">
        <v>5792</v>
      </c>
      <c r="K833" s="10"/>
      <c r="L833" s="19"/>
      <c r="M833" s="13"/>
      <c r="N833" s="249"/>
      <c r="O833" s="19" t="s">
        <v>1144</v>
      </c>
      <c r="P833" s="19"/>
      <c r="Q833" s="19"/>
      <c r="R833" s="13"/>
      <c r="S833" s="19"/>
      <c r="T833" s="19"/>
      <c r="U833" s="19"/>
      <c r="V833" s="19"/>
      <c r="W833" s="19"/>
      <c r="X833" s="19"/>
      <c r="Y833" s="19"/>
      <c r="Z833" s="376">
        <f t="shared" si="178"/>
        <v>0</v>
      </c>
      <c r="AA833" s="19"/>
      <c r="AB833" s="376">
        <f t="shared" si="179"/>
        <v>0</v>
      </c>
      <c r="AC833" s="38">
        <f t="shared" si="187"/>
        <v>0</v>
      </c>
      <c r="AD833" s="19"/>
    </row>
    <row r="834" spans="1:30" ht="63" x14ac:dyDescent="0.25">
      <c r="A834" s="113">
        <v>831</v>
      </c>
      <c r="B834" s="22">
        <v>44057</v>
      </c>
      <c r="C834" s="148" t="s">
        <v>5793</v>
      </c>
      <c r="D834" s="148"/>
      <c r="E834" s="148" t="s">
        <v>3646</v>
      </c>
      <c r="F834" s="101" t="s">
        <v>5795</v>
      </c>
      <c r="G834" s="10"/>
      <c r="H834" s="101" t="s">
        <v>168</v>
      </c>
      <c r="I834" s="148" t="s">
        <v>5794</v>
      </c>
      <c r="J834" s="10" t="s">
        <v>5792</v>
      </c>
      <c r="K834" s="10"/>
      <c r="L834" s="19"/>
      <c r="M834" s="13"/>
      <c r="N834" s="249"/>
      <c r="O834" s="19" t="s">
        <v>1144</v>
      </c>
      <c r="P834" s="19"/>
      <c r="Q834" s="19"/>
      <c r="R834" s="13"/>
      <c r="S834" s="19"/>
      <c r="T834" s="19"/>
      <c r="U834" s="19"/>
      <c r="V834" s="19"/>
      <c r="W834" s="19"/>
      <c r="X834" s="19"/>
      <c r="Y834" s="19"/>
      <c r="Z834" s="376">
        <f t="shared" si="178"/>
        <v>0</v>
      </c>
      <c r="AA834" s="19"/>
      <c r="AB834" s="376">
        <f t="shared" si="179"/>
        <v>0</v>
      </c>
      <c r="AC834" s="38">
        <f t="shared" si="187"/>
        <v>0</v>
      </c>
      <c r="AD834" s="19"/>
    </row>
    <row r="835" spans="1:30" ht="63" x14ac:dyDescent="0.25">
      <c r="A835" s="74">
        <v>832</v>
      </c>
      <c r="B835" s="22">
        <v>44057</v>
      </c>
      <c r="C835" s="148" t="s">
        <v>5796</v>
      </c>
      <c r="D835" s="148"/>
      <c r="E835" s="148" t="s">
        <v>5532</v>
      </c>
      <c r="F835" s="153" t="s">
        <v>5798</v>
      </c>
      <c r="G835" s="10"/>
      <c r="H835" s="101" t="s">
        <v>168</v>
      </c>
      <c r="I835" s="148" t="s">
        <v>5797</v>
      </c>
      <c r="J835" s="10"/>
      <c r="K835" s="10"/>
      <c r="L835" s="19"/>
      <c r="M835" s="13"/>
      <c r="N835" s="249"/>
      <c r="O835" s="649" t="s">
        <v>4918</v>
      </c>
      <c r="P835" s="649" t="s">
        <v>180</v>
      </c>
      <c r="Q835" s="508">
        <v>300</v>
      </c>
      <c r="R835" s="415">
        <v>500000</v>
      </c>
      <c r="S835" s="508">
        <v>300000</v>
      </c>
      <c r="T835" s="280">
        <f t="shared" ref="T835" si="190">R835+S835</f>
        <v>800000</v>
      </c>
      <c r="U835" s="266"/>
      <c r="V835" s="266"/>
      <c r="W835" s="266"/>
      <c r="X835" s="266"/>
      <c r="Y835" s="271">
        <v>0.35</v>
      </c>
      <c r="Z835" s="376">
        <f t="shared" si="178"/>
        <v>280000</v>
      </c>
      <c r="AA835" s="19"/>
      <c r="AB835" s="376">
        <f t="shared" si="179"/>
        <v>520000</v>
      </c>
      <c r="AC835" s="38">
        <f t="shared" si="187"/>
        <v>240000</v>
      </c>
      <c r="AD835" s="19"/>
    </row>
    <row r="836" spans="1:30" ht="47.25" x14ac:dyDescent="0.25">
      <c r="A836" s="311">
        <v>833</v>
      </c>
      <c r="B836" s="22">
        <v>44057</v>
      </c>
      <c r="C836" s="148" t="s">
        <v>5799</v>
      </c>
      <c r="D836" s="148"/>
      <c r="E836" s="148" t="s">
        <v>3646</v>
      </c>
      <c r="F836" s="101" t="s">
        <v>5805</v>
      </c>
      <c r="G836" s="10"/>
      <c r="H836" s="101" t="s">
        <v>168</v>
      </c>
      <c r="I836" s="148" t="s">
        <v>5800</v>
      </c>
      <c r="J836" s="10"/>
      <c r="K836" s="10"/>
      <c r="L836" s="19"/>
      <c r="M836" s="13"/>
      <c r="N836" s="249"/>
      <c r="O836" s="19" t="s">
        <v>1144</v>
      </c>
      <c r="P836" s="19"/>
      <c r="Q836" s="19"/>
      <c r="R836" s="13"/>
      <c r="S836" s="19"/>
      <c r="T836" s="19"/>
      <c r="U836" s="19"/>
      <c r="V836" s="19"/>
      <c r="W836" s="19"/>
      <c r="X836" s="19"/>
      <c r="Y836" s="19"/>
      <c r="Z836" s="376">
        <f t="shared" si="178"/>
        <v>0</v>
      </c>
      <c r="AA836" s="19"/>
      <c r="AB836" s="376">
        <f t="shared" si="179"/>
        <v>0</v>
      </c>
      <c r="AC836" s="38">
        <f t="shared" si="187"/>
        <v>0</v>
      </c>
      <c r="AD836" s="19"/>
    </row>
    <row r="837" spans="1:30" s="272" customFormat="1" ht="47.25" x14ac:dyDescent="0.25">
      <c r="A837" s="113">
        <v>834</v>
      </c>
      <c r="B837" s="373">
        <v>44057</v>
      </c>
      <c r="C837" s="358" t="s">
        <v>5801</v>
      </c>
      <c r="D837" s="358"/>
      <c r="E837" s="358" t="s">
        <v>3646</v>
      </c>
      <c r="F837" s="335" t="s">
        <v>5804</v>
      </c>
      <c r="G837" s="269"/>
      <c r="H837" s="335" t="s">
        <v>1243</v>
      </c>
      <c r="I837" s="358" t="s">
        <v>5802</v>
      </c>
      <c r="J837" s="498" t="s">
        <v>5803</v>
      </c>
      <c r="K837" s="269"/>
      <c r="L837" s="266"/>
      <c r="M837" s="278"/>
      <c r="N837" s="439"/>
      <c r="O837" s="649" t="s">
        <v>4918</v>
      </c>
      <c r="P837" s="649" t="s">
        <v>180</v>
      </c>
      <c r="Q837" s="508">
        <v>300</v>
      </c>
      <c r="R837" s="415">
        <v>500000</v>
      </c>
      <c r="S837" s="508">
        <v>300000</v>
      </c>
      <c r="T837" s="280">
        <f t="shared" ref="T837" si="191">R837+S837</f>
        <v>800000</v>
      </c>
      <c r="U837" s="266"/>
      <c r="V837" s="266"/>
      <c r="W837" s="266"/>
      <c r="X837" s="266"/>
      <c r="Y837" s="266"/>
      <c r="Z837" s="605">
        <f t="shared" si="178"/>
        <v>0</v>
      </c>
      <c r="AA837" s="266"/>
      <c r="AB837" s="376">
        <f t="shared" si="179"/>
        <v>520000</v>
      </c>
      <c r="AC837" s="38">
        <f t="shared" si="187"/>
        <v>520000</v>
      </c>
      <c r="AD837" s="266"/>
    </row>
    <row r="838" spans="1:30" s="272" customFormat="1" ht="47.25" x14ac:dyDescent="0.25">
      <c r="A838" s="74">
        <v>835</v>
      </c>
      <c r="B838" s="373">
        <v>44057</v>
      </c>
      <c r="C838" s="358" t="s">
        <v>5806</v>
      </c>
      <c r="D838" s="358"/>
      <c r="E838" s="358" t="s">
        <v>309</v>
      </c>
      <c r="F838" s="335" t="s">
        <v>5808</v>
      </c>
      <c r="G838" s="269"/>
      <c r="H838" s="335" t="s">
        <v>168</v>
      </c>
      <c r="I838" s="358" t="s">
        <v>5807</v>
      </c>
      <c r="J838" s="269"/>
      <c r="K838" s="269"/>
      <c r="L838" s="266"/>
      <c r="M838" s="278"/>
      <c r="N838" s="439"/>
      <c r="O838" s="649" t="s">
        <v>4918</v>
      </c>
      <c r="P838" s="649" t="s">
        <v>180</v>
      </c>
      <c r="Q838" s="508">
        <v>300</v>
      </c>
      <c r="R838" s="415">
        <v>500000</v>
      </c>
      <c r="S838" s="508">
        <v>300000</v>
      </c>
      <c r="T838" s="280">
        <f t="shared" ref="T838" si="192">R838+S838</f>
        <v>800000</v>
      </c>
      <c r="U838" s="266"/>
      <c r="V838" s="266"/>
      <c r="W838" s="266"/>
      <c r="X838" s="266"/>
      <c r="Y838" s="271">
        <v>0.35</v>
      </c>
      <c r="Z838" s="605">
        <f t="shared" si="178"/>
        <v>280000</v>
      </c>
      <c r="AA838" s="266"/>
      <c r="AB838" s="376">
        <f t="shared" si="179"/>
        <v>520000</v>
      </c>
      <c r="AC838" s="38">
        <f t="shared" si="187"/>
        <v>240000</v>
      </c>
      <c r="AD838" s="266"/>
    </row>
    <row r="839" spans="1:30" s="481" customFormat="1" ht="47.25" x14ac:dyDescent="0.25">
      <c r="A839" s="702">
        <v>836</v>
      </c>
      <c r="B839" s="476">
        <v>44057</v>
      </c>
      <c r="C839" s="477" t="s">
        <v>5776</v>
      </c>
      <c r="D839" s="477"/>
      <c r="E839" s="477" t="s">
        <v>309</v>
      </c>
      <c r="F839" s="478" t="s">
        <v>5778</v>
      </c>
      <c r="G839" s="274"/>
      <c r="H839" s="478" t="s">
        <v>273</v>
      </c>
      <c r="I839" s="477" t="s">
        <v>5777</v>
      </c>
      <c r="J839" s="274"/>
      <c r="K839" s="274" t="s">
        <v>6600</v>
      </c>
      <c r="L839" s="274"/>
      <c r="M839" s="273"/>
      <c r="N839" s="479"/>
      <c r="O839" s="649" t="s">
        <v>4918</v>
      </c>
      <c r="P839" s="649" t="s">
        <v>94</v>
      </c>
      <c r="Q839" s="508">
        <v>300</v>
      </c>
      <c r="R839" s="415"/>
      <c r="S839" s="508">
        <v>300000</v>
      </c>
      <c r="T839" s="280">
        <f t="shared" ref="T839:T841" si="193">R839+S839</f>
        <v>300000</v>
      </c>
      <c r="U839" s="274"/>
      <c r="V839" s="274"/>
      <c r="W839" s="274"/>
      <c r="X839" s="274"/>
      <c r="Y839" s="480">
        <v>0.35</v>
      </c>
      <c r="Z839" s="605">
        <f t="shared" si="178"/>
        <v>105000</v>
      </c>
      <c r="AA839" s="274"/>
      <c r="AB839" s="376">
        <f t="shared" si="179"/>
        <v>195000</v>
      </c>
      <c r="AC839" s="376">
        <f t="shared" si="187"/>
        <v>90000</v>
      </c>
      <c r="AD839" s="274"/>
    </row>
    <row r="840" spans="1:30" ht="63" x14ac:dyDescent="0.25">
      <c r="A840" s="113">
        <v>837</v>
      </c>
      <c r="B840" s="22">
        <v>44057</v>
      </c>
      <c r="C840" s="358" t="s">
        <v>6601</v>
      </c>
      <c r="D840" s="148" t="s">
        <v>1211</v>
      </c>
      <c r="E840" s="148" t="s">
        <v>3646</v>
      </c>
      <c r="F840" s="101" t="s">
        <v>5809</v>
      </c>
      <c r="G840" s="10"/>
      <c r="H840" s="101" t="s">
        <v>273</v>
      </c>
      <c r="I840" s="148" t="s">
        <v>5810</v>
      </c>
      <c r="J840" s="10"/>
      <c r="K840" s="10"/>
      <c r="L840" s="19"/>
      <c r="M840" s="13"/>
      <c r="N840" s="249"/>
      <c r="O840" s="693" t="s">
        <v>4918</v>
      </c>
      <c r="P840" s="693" t="s">
        <v>180</v>
      </c>
      <c r="Q840" s="365">
        <v>300</v>
      </c>
      <c r="R840" s="364">
        <v>500000</v>
      </c>
      <c r="S840" s="365">
        <v>300000</v>
      </c>
      <c r="T840" s="219">
        <f t="shared" si="193"/>
        <v>800000</v>
      </c>
      <c r="U840" s="19"/>
      <c r="V840" s="19"/>
      <c r="W840" s="19"/>
      <c r="X840" s="19"/>
      <c r="Y840" s="165">
        <v>0.4</v>
      </c>
      <c r="Z840" s="376">
        <f t="shared" si="178"/>
        <v>320000</v>
      </c>
      <c r="AA840" s="19"/>
      <c r="AB840" s="376">
        <f t="shared" si="179"/>
        <v>520000</v>
      </c>
      <c r="AC840" s="38">
        <f t="shared" si="187"/>
        <v>200000</v>
      </c>
      <c r="AD840" s="19" t="s">
        <v>5811</v>
      </c>
    </row>
    <row r="841" spans="1:30" ht="47.25" x14ac:dyDescent="0.25">
      <c r="A841" s="74">
        <v>838</v>
      </c>
      <c r="B841" s="22">
        <v>44057</v>
      </c>
      <c r="C841" s="148" t="s">
        <v>5813</v>
      </c>
      <c r="D841" s="148" t="s">
        <v>3657</v>
      </c>
      <c r="E841" s="148" t="s">
        <v>3646</v>
      </c>
      <c r="F841" s="101" t="s">
        <v>5812</v>
      </c>
      <c r="G841" s="10"/>
      <c r="H841" s="101" t="s">
        <v>659</v>
      </c>
      <c r="I841" s="148" t="s">
        <v>5814</v>
      </c>
      <c r="J841" s="10"/>
      <c r="K841" s="10"/>
      <c r="L841" s="19"/>
      <c r="M841" s="13"/>
      <c r="N841" s="249"/>
      <c r="O841" s="693" t="s">
        <v>4918</v>
      </c>
      <c r="P841" s="693" t="s">
        <v>180</v>
      </c>
      <c r="Q841" s="365">
        <v>300</v>
      </c>
      <c r="R841" s="364">
        <v>500000</v>
      </c>
      <c r="S841" s="365">
        <v>300000</v>
      </c>
      <c r="T841" s="219">
        <f t="shared" si="193"/>
        <v>800000</v>
      </c>
      <c r="U841" s="19"/>
      <c r="V841" s="19"/>
      <c r="W841" s="19"/>
      <c r="X841" s="19"/>
      <c r="Y841" s="165">
        <v>0.35</v>
      </c>
      <c r="Z841" s="376">
        <f t="shared" si="178"/>
        <v>280000</v>
      </c>
      <c r="AA841" s="19"/>
      <c r="AB841" s="376">
        <f t="shared" si="179"/>
        <v>520000</v>
      </c>
      <c r="AC841" s="38">
        <f t="shared" si="187"/>
        <v>240000</v>
      </c>
      <c r="AD841" s="19" t="s">
        <v>5811</v>
      </c>
    </row>
    <row r="842" spans="1:30" ht="63" x14ac:dyDescent="0.25">
      <c r="A842" s="311">
        <v>839</v>
      </c>
      <c r="B842" s="22">
        <v>44057</v>
      </c>
      <c r="C842" s="148" t="s">
        <v>5816</v>
      </c>
      <c r="D842" s="148" t="s">
        <v>3657</v>
      </c>
      <c r="E842" s="148" t="s">
        <v>3646</v>
      </c>
      <c r="F842" s="101" t="s">
        <v>5815</v>
      </c>
      <c r="G842" s="10"/>
      <c r="H842" s="101" t="s">
        <v>168</v>
      </c>
      <c r="I842" s="148" t="s">
        <v>5817</v>
      </c>
      <c r="J842" s="10"/>
      <c r="K842" s="10"/>
      <c r="L842" s="19"/>
      <c r="M842" s="13"/>
      <c r="N842" s="249"/>
      <c r="O842" s="693" t="s">
        <v>4918</v>
      </c>
      <c r="P842" s="693" t="s">
        <v>180</v>
      </c>
      <c r="Q842" s="365">
        <v>300</v>
      </c>
      <c r="R842" s="364">
        <v>500000</v>
      </c>
      <c r="S842" s="365">
        <v>300000</v>
      </c>
      <c r="T842" s="219">
        <f t="shared" ref="T842" si="194">R842+S842</f>
        <v>800000</v>
      </c>
      <c r="U842" s="19"/>
      <c r="V842" s="19"/>
      <c r="W842" s="19"/>
      <c r="X842" s="19"/>
      <c r="Y842" s="165">
        <v>0.35</v>
      </c>
      <c r="Z842" s="376">
        <f t="shared" si="178"/>
        <v>280000</v>
      </c>
      <c r="AA842" s="19"/>
      <c r="AB842" s="376">
        <f t="shared" si="179"/>
        <v>520000</v>
      </c>
      <c r="AC842" s="38">
        <f t="shared" si="187"/>
        <v>240000</v>
      </c>
      <c r="AD842" s="19" t="s">
        <v>5811</v>
      </c>
    </row>
    <row r="843" spans="1:30" s="272" customFormat="1" ht="47.25" x14ac:dyDescent="0.25">
      <c r="A843" s="113">
        <v>840</v>
      </c>
      <c r="B843" s="373">
        <v>44057</v>
      </c>
      <c r="C843" s="358" t="s">
        <v>5818</v>
      </c>
      <c r="D843" s="358" t="s">
        <v>3551</v>
      </c>
      <c r="E843" s="358" t="s">
        <v>3646</v>
      </c>
      <c r="F843" s="335" t="s">
        <v>5820</v>
      </c>
      <c r="G843" s="269"/>
      <c r="H843" s="335" t="s">
        <v>168</v>
      </c>
      <c r="I843" s="358" t="s">
        <v>5819</v>
      </c>
      <c r="J843" s="269"/>
      <c r="K843" s="380" t="s">
        <v>5821</v>
      </c>
      <c r="L843" s="266"/>
      <c r="M843" s="278"/>
      <c r="N843" s="439"/>
      <c r="O843" s="266" t="s">
        <v>1422</v>
      </c>
      <c r="P843" s="266" t="s">
        <v>180</v>
      </c>
      <c r="Q843" s="266">
        <v>2000</v>
      </c>
      <c r="R843" s="278">
        <v>500000</v>
      </c>
      <c r="S843" s="266">
        <v>1100000</v>
      </c>
      <c r="T843" s="266">
        <v>1600000</v>
      </c>
      <c r="U843" s="271">
        <v>0.3</v>
      </c>
      <c r="V843" s="266"/>
      <c r="W843" s="266"/>
      <c r="X843" s="266"/>
      <c r="Y843" s="271">
        <v>0.2</v>
      </c>
      <c r="Z843" s="376">
        <f t="shared" si="178"/>
        <v>320000</v>
      </c>
      <c r="AA843" s="266"/>
      <c r="AB843" s="605">
        <f t="shared" si="179"/>
        <v>1040000</v>
      </c>
      <c r="AC843" s="38">
        <f t="shared" si="187"/>
        <v>720000</v>
      </c>
      <c r="AD843" s="266"/>
    </row>
    <row r="844" spans="1:30" ht="47.25" x14ac:dyDescent="0.25">
      <c r="A844" s="74">
        <v>841</v>
      </c>
      <c r="B844" s="22">
        <v>44057</v>
      </c>
      <c r="C844" s="148" t="s">
        <v>5822</v>
      </c>
      <c r="D844" s="148"/>
      <c r="E844" s="148" t="s">
        <v>5768</v>
      </c>
      <c r="F844" s="101" t="s">
        <v>5824</v>
      </c>
      <c r="G844" s="10"/>
      <c r="H844" s="101" t="s">
        <v>168</v>
      </c>
      <c r="I844" s="148" t="s">
        <v>5823</v>
      </c>
      <c r="J844" s="10"/>
      <c r="K844" s="10"/>
      <c r="L844" s="19"/>
      <c r="M844" s="13"/>
      <c r="N844" s="249"/>
      <c r="O844" s="19" t="s">
        <v>4576</v>
      </c>
      <c r="P844" s="19"/>
      <c r="Q844" s="19"/>
      <c r="R844" s="13"/>
      <c r="S844" s="19"/>
      <c r="T844" s="19"/>
      <c r="U844" s="19"/>
      <c r="V844" s="19"/>
      <c r="W844" s="19"/>
      <c r="X844" s="19"/>
      <c r="Y844" s="19"/>
      <c r="Z844" s="376">
        <f t="shared" si="178"/>
        <v>0</v>
      </c>
      <c r="AA844" s="19"/>
      <c r="AB844" s="376">
        <f t="shared" si="179"/>
        <v>0</v>
      </c>
      <c r="AC844" s="38">
        <f t="shared" si="187"/>
        <v>0</v>
      </c>
      <c r="AD844" s="19"/>
    </row>
    <row r="845" spans="1:30" s="272" customFormat="1" ht="47.25" x14ac:dyDescent="0.25">
      <c r="A845" s="311">
        <v>842</v>
      </c>
      <c r="B845" s="373">
        <v>44058</v>
      </c>
      <c r="C845" s="358" t="s">
        <v>5826</v>
      </c>
      <c r="D845" s="358" t="s">
        <v>502</v>
      </c>
      <c r="E845" s="358" t="s">
        <v>3646</v>
      </c>
      <c r="F845" s="335" t="s">
        <v>5827</v>
      </c>
      <c r="G845" s="269"/>
      <c r="H845" s="335" t="s">
        <v>840</v>
      </c>
      <c r="I845" s="358" t="s">
        <v>5081</v>
      </c>
      <c r="J845" s="269" t="s">
        <v>5828</v>
      </c>
      <c r="K845" s="380" t="s">
        <v>5829</v>
      </c>
      <c r="L845" s="266"/>
      <c r="M845" s="278"/>
      <c r="N845" s="439"/>
      <c r="O845" s="649" t="s">
        <v>4918</v>
      </c>
      <c r="P845" s="649" t="s">
        <v>180</v>
      </c>
      <c r="Q845" s="508">
        <v>300</v>
      </c>
      <c r="R845" s="415">
        <v>500000</v>
      </c>
      <c r="S845" s="508">
        <v>300000</v>
      </c>
      <c r="T845" s="280">
        <f t="shared" ref="T845" si="195">R845+S845</f>
        <v>800000</v>
      </c>
      <c r="U845" s="266"/>
      <c r="V845" s="266"/>
      <c r="W845" s="266"/>
      <c r="X845" s="266"/>
      <c r="Y845" s="266"/>
      <c r="Z845" s="605">
        <f t="shared" si="178"/>
        <v>0</v>
      </c>
      <c r="AA845" s="266"/>
      <c r="AB845" s="605">
        <f t="shared" si="179"/>
        <v>520000</v>
      </c>
      <c r="AC845" s="607">
        <f t="shared" si="187"/>
        <v>520000</v>
      </c>
      <c r="AD845" s="266"/>
    </row>
    <row r="846" spans="1:30" ht="47.25" x14ac:dyDescent="0.25">
      <c r="A846" s="113">
        <v>843</v>
      </c>
      <c r="B846" s="22">
        <v>44058</v>
      </c>
      <c r="C846" s="148" t="s">
        <v>5830</v>
      </c>
      <c r="D846" s="148" t="s">
        <v>502</v>
      </c>
      <c r="E846" s="148" t="s">
        <v>3646</v>
      </c>
      <c r="F846" s="101" t="s">
        <v>5832</v>
      </c>
      <c r="G846" s="10"/>
      <c r="H846" s="101" t="s">
        <v>168</v>
      </c>
      <c r="I846" s="148" t="s">
        <v>5831</v>
      </c>
      <c r="J846" s="10" t="s">
        <v>5833</v>
      </c>
      <c r="K846" s="10"/>
      <c r="L846" s="19"/>
      <c r="M846" s="13"/>
      <c r="N846" s="249"/>
      <c r="O846" s="693" t="s">
        <v>4918</v>
      </c>
      <c r="P846" s="693" t="s">
        <v>180</v>
      </c>
      <c r="Q846" s="365">
        <v>300</v>
      </c>
      <c r="R846" s="364">
        <v>500000</v>
      </c>
      <c r="S846" s="365">
        <v>300000</v>
      </c>
      <c r="T846" s="219">
        <f t="shared" ref="T846:T847" si="196">R846+S846</f>
        <v>800000</v>
      </c>
      <c r="U846" s="19"/>
      <c r="V846" s="19"/>
      <c r="W846" s="19"/>
      <c r="X846" s="19"/>
      <c r="Y846" s="19"/>
      <c r="Z846" s="376">
        <f t="shared" si="178"/>
        <v>0</v>
      </c>
      <c r="AA846" s="19"/>
      <c r="AB846" s="376">
        <f t="shared" si="179"/>
        <v>520000</v>
      </c>
      <c r="AC846" s="38">
        <f t="shared" si="187"/>
        <v>520000</v>
      </c>
      <c r="AD846" s="19" t="s">
        <v>6608</v>
      </c>
    </row>
    <row r="847" spans="1:30" s="272" customFormat="1" ht="47.25" x14ac:dyDescent="0.25">
      <c r="A847" s="74">
        <v>844</v>
      </c>
      <c r="B847" s="373">
        <v>44058</v>
      </c>
      <c r="C847" s="358" t="s">
        <v>5834</v>
      </c>
      <c r="D847" s="358" t="s">
        <v>502</v>
      </c>
      <c r="E847" s="358" t="s">
        <v>3646</v>
      </c>
      <c r="F847" s="335" t="s">
        <v>5836</v>
      </c>
      <c r="G847" s="269"/>
      <c r="H847" s="335" t="s">
        <v>168</v>
      </c>
      <c r="I847" s="358" t="s">
        <v>5835</v>
      </c>
      <c r="J847" s="269" t="s">
        <v>5837</v>
      </c>
      <c r="K847" s="269"/>
      <c r="L847" s="266"/>
      <c r="M847" s="278"/>
      <c r="N847" s="439"/>
      <c r="O847" s="266" t="s">
        <v>4932</v>
      </c>
      <c r="P847" s="266" t="s">
        <v>180</v>
      </c>
      <c r="Q847" s="266">
        <v>500</v>
      </c>
      <c r="R847" s="278">
        <v>500000</v>
      </c>
      <c r="S847" s="266">
        <v>425000</v>
      </c>
      <c r="T847" s="266">
        <f t="shared" si="196"/>
        <v>925000</v>
      </c>
      <c r="U847" s="266"/>
      <c r="V847" s="266"/>
      <c r="W847" s="266"/>
      <c r="X847" s="266"/>
      <c r="Y847" s="271">
        <v>0.35</v>
      </c>
      <c r="Z847" s="605">
        <f t="shared" si="178"/>
        <v>323750</v>
      </c>
      <c r="AA847" s="266"/>
      <c r="AB847" s="605">
        <f t="shared" si="179"/>
        <v>601250</v>
      </c>
      <c r="AC847" s="607">
        <f t="shared" si="187"/>
        <v>277500</v>
      </c>
      <c r="AD847" s="266"/>
    </row>
    <row r="848" spans="1:30" s="746" customFormat="1" ht="47.25" x14ac:dyDescent="0.25">
      <c r="A848" s="731">
        <v>845</v>
      </c>
      <c r="B848" s="734">
        <v>44058</v>
      </c>
      <c r="C848" s="735" t="s">
        <v>5838</v>
      </c>
      <c r="D848" s="735"/>
      <c r="E848" s="735" t="s">
        <v>2404</v>
      </c>
      <c r="F848" s="736" t="s">
        <v>5840</v>
      </c>
      <c r="G848" s="737"/>
      <c r="H848" s="736" t="s">
        <v>1177</v>
      </c>
      <c r="I848" s="735" t="s">
        <v>5839</v>
      </c>
      <c r="J848" s="737"/>
      <c r="K848" s="737"/>
      <c r="L848" s="737"/>
      <c r="M848" s="739"/>
      <c r="N848" s="740"/>
      <c r="O848" s="737" t="s">
        <v>5697</v>
      </c>
      <c r="P848" s="737"/>
      <c r="Q848" s="737"/>
      <c r="R848" s="739"/>
      <c r="S848" s="737"/>
      <c r="T848" s="737"/>
      <c r="U848" s="737"/>
      <c r="V848" s="737"/>
      <c r="W848" s="737"/>
      <c r="X848" s="737"/>
      <c r="Y848" s="737"/>
      <c r="Z848" s="376">
        <f t="shared" si="178"/>
        <v>0</v>
      </c>
      <c r="AA848" s="737"/>
      <c r="AB848" s="745">
        <f t="shared" si="179"/>
        <v>0</v>
      </c>
      <c r="AC848" s="745">
        <f t="shared" si="187"/>
        <v>0</v>
      </c>
      <c r="AD848" s="737"/>
    </row>
    <row r="849" spans="1:30" s="481" customFormat="1" ht="47.25" x14ac:dyDescent="0.25">
      <c r="A849" s="714">
        <v>846</v>
      </c>
      <c r="B849" s="476">
        <v>44058</v>
      </c>
      <c r="C849" s="477" t="s">
        <v>5838</v>
      </c>
      <c r="D849" s="477"/>
      <c r="E849" s="477" t="s">
        <v>2404</v>
      </c>
      <c r="F849" s="478" t="s">
        <v>5840</v>
      </c>
      <c r="G849" s="274"/>
      <c r="H849" s="478" t="s">
        <v>1177</v>
      </c>
      <c r="I849" s="477" t="s">
        <v>5839</v>
      </c>
      <c r="J849" s="274"/>
      <c r="K849" s="274" t="s">
        <v>6602</v>
      </c>
      <c r="L849" s="274"/>
      <c r="M849" s="273"/>
      <c r="N849" s="479"/>
      <c r="O849" s="649" t="s">
        <v>4918</v>
      </c>
      <c r="P849" s="649" t="s">
        <v>94</v>
      </c>
      <c r="Q849" s="508">
        <v>300</v>
      </c>
      <c r="R849" s="415"/>
      <c r="S849" s="508">
        <v>300000</v>
      </c>
      <c r="T849" s="280">
        <f t="shared" ref="T849:T850" si="197">R849+S849</f>
        <v>300000</v>
      </c>
      <c r="U849" s="274"/>
      <c r="V849" s="274"/>
      <c r="W849" s="274"/>
      <c r="X849" s="274"/>
      <c r="Y849" s="480">
        <v>0.4</v>
      </c>
      <c r="Z849" s="605">
        <f t="shared" si="178"/>
        <v>120000</v>
      </c>
      <c r="AA849" s="274"/>
      <c r="AB849" s="605">
        <f t="shared" si="179"/>
        <v>195000</v>
      </c>
      <c r="AC849" s="605">
        <f t="shared" si="187"/>
        <v>75000</v>
      </c>
      <c r="AD849" s="274"/>
    </row>
    <row r="850" spans="1:30" s="481" customFormat="1" ht="47.25" x14ac:dyDescent="0.25">
      <c r="A850" s="716">
        <v>847</v>
      </c>
      <c r="B850" s="476">
        <v>44058</v>
      </c>
      <c r="C850" s="477" t="s">
        <v>5841</v>
      </c>
      <c r="D850" s="477"/>
      <c r="E850" s="477" t="s">
        <v>3479</v>
      </c>
      <c r="F850" s="478" t="s">
        <v>5843</v>
      </c>
      <c r="G850" s="274"/>
      <c r="H850" s="478" t="s">
        <v>168</v>
      </c>
      <c r="I850" s="477" t="s">
        <v>5842</v>
      </c>
      <c r="J850" s="274"/>
      <c r="K850" s="274" t="s">
        <v>6602</v>
      </c>
      <c r="L850" s="274"/>
      <c r="M850" s="273"/>
      <c r="N850" s="479"/>
      <c r="O850" s="649" t="s">
        <v>4918</v>
      </c>
      <c r="P850" s="649" t="s">
        <v>180</v>
      </c>
      <c r="Q850" s="508">
        <v>300</v>
      </c>
      <c r="R850" s="415">
        <v>500000</v>
      </c>
      <c r="S850" s="508">
        <v>300000</v>
      </c>
      <c r="T850" s="280">
        <f t="shared" si="197"/>
        <v>800000</v>
      </c>
      <c r="U850" s="274"/>
      <c r="V850" s="274"/>
      <c r="W850" s="274"/>
      <c r="X850" s="274"/>
      <c r="Y850" s="274"/>
      <c r="Z850" s="605">
        <f t="shared" si="178"/>
        <v>0</v>
      </c>
      <c r="AA850" s="274"/>
      <c r="AB850" s="605">
        <f t="shared" si="179"/>
        <v>520000</v>
      </c>
      <c r="AC850" s="605">
        <f t="shared" si="187"/>
        <v>520000</v>
      </c>
      <c r="AD850" s="274"/>
    </row>
    <row r="851" spans="1:30" s="481" customFormat="1" ht="47.25" x14ac:dyDescent="0.25">
      <c r="A851" s="702">
        <v>848</v>
      </c>
      <c r="B851" s="476">
        <v>44058</v>
      </c>
      <c r="C851" s="477" t="s">
        <v>5844</v>
      </c>
      <c r="D851" s="477"/>
      <c r="E851" s="477" t="s">
        <v>309</v>
      </c>
      <c r="F851" s="478" t="s">
        <v>5846</v>
      </c>
      <c r="G851" s="274"/>
      <c r="H851" s="478" t="s">
        <v>345</v>
      </c>
      <c r="I851" s="477" t="s">
        <v>5845</v>
      </c>
      <c r="J851" s="274"/>
      <c r="K851" s="274" t="s">
        <v>6602</v>
      </c>
      <c r="L851" s="274"/>
      <c r="M851" s="273"/>
      <c r="N851" s="479"/>
      <c r="O851" s="649" t="s">
        <v>4918</v>
      </c>
      <c r="P851" s="649" t="s">
        <v>180</v>
      </c>
      <c r="Q851" s="508">
        <v>300</v>
      </c>
      <c r="R851" s="415">
        <v>500000</v>
      </c>
      <c r="S851" s="508">
        <v>300000</v>
      </c>
      <c r="T851" s="280">
        <f t="shared" ref="T851" si="198">R851+S851</f>
        <v>800000</v>
      </c>
      <c r="U851" s="274"/>
      <c r="V851" s="274"/>
      <c r="W851" s="274"/>
      <c r="X851" s="274"/>
      <c r="Y851" s="274"/>
      <c r="Z851" s="605">
        <f t="shared" si="178"/>
        <v>0</v>
      </c>
      <c r="AA851" s="274"/>
      <c r="AB851" s="605">
        <f t="shared" si="179"/>
        <v>520000</v>
      </c>
      <c r="AC851" s="605">
        <f t="shared" si="187"/>
        <v>520000</v>
      </c>
      <c r="AD851" s="274"/>
    </row>
    <row r="852" spans="1:30" ht="47.25" x14ac:dyDescent="0.25">
      <c r="A852" s="113">
        <v>849</v>
      </c>
      <c r="B852" s="22">
        <v>44058</v>
      </c>
      <c r="C852" s="148" t="s">
        <v>5847</v>
      </c>
      <c r="D852" s="148" t="s">
        <v>5850</v>
      </c>
      <c r="E852" s="148" t="s">
        <v>3646</v>
      </c>
      <c r="F852" s="101" t="s">
        <v>5849</v>
      </c>
      <c r="G852" s="10"/>
      <c r="H852" s="101" t="s">
        <v>345</v>
      </c>
      <c r="I852" s="148" t="s">
        <v>5848</v>
      </c>
      <c r="J852" s="10"/>
      <c r="K852" s="10"/>
      <c r="L852" s="19"/>
      <c r="M852" s="13"/>
      <c r="N852" s="249"/>
      <c r="O852" s="693" t="s">
        <v>5860</v>
      </c>
      <c r="P852" s="693" t="s">
        <v>180</v>
      </c>
      <c r="Q852" s="365">
        <v>0</v>
      </c>
      <c r="R852" s="364">
        <v>500000</v>
      </c>
      <c r="S852" s="365">
        <v>0</v>
      </c>
      <c r="T852" s="219">
        <f t="shared" ref="T852:T853" si="199">R852+S852</f>
        <v>500000</v>
      </c>
      <c r="U852" s="19"/>
      <c r="V852" s="19"/>
      <c r="W852" s="19"/>
      <c r="X852" s="19"/>
      <c r="Y852" s="19"/>
      <c r="Z852" s="376">
        <f t="shared" si="178"/>
        <v>0</v>
      </c>
      <c r="AA852" s="19"/>
      <c r="AB852" s="376">
        <f t="shared" si="179"/>
        <v>325000</v>
      </c>
      <c r="AC852" s="38">
        <f t="shared" si="187"/>
        <v>325000</v>
      </c>
      <c r="AD852" s="19" t="s">
        <v>5851</v>
      </c>
    </row>
    <row r="853" spans="1:30" ht="63" x14ac:dyDescent="0.25">
      <c r="A853" s="74">
        <v>850</v>
      </c>
      <c r="B853" s="22">
        <v>44058</v>
      </c>
      <c r="C853" s="148" t="s">
        <v>5852</v>
      </c>
      <c r="D853" s="148" t="s">
        <v>5853</v>
      </c>
      <c r="E853" s="148" t="s">
        <v>309</v>
      </c>
      <c r="F853" s="101" t="s">
        <v>1763</v>
      </c>
      <c r="G853" s="10"/>
      <c r="H853" s="101" t="s">
        <v>5854</v>
      </c>
      <c r="I853" s="148" t="s">
        <v>5855</v>
      </c>
      <c r="J853" s="10"/>
      <c r="K853" s="10"/>
      <c r="L853" s="19"/>
      <c r="M853" s="13"/>
      <c r="N853" s="249"/>
      <c r="O853" s="649" t="s">
        <v>4918</v>
      </c>
      <c r="P853" s="649" t="s">
        <v>94</v>
      </c>
      <c r="Q853" s="508">
        <v>1000</v>
      </c>
      <c r="R853" s="415"/>
      <c r="S853" s="508">
        <v>675000</v>
      </c>
      <c r="T853" s="280">
        <f t="shared" si="199"/>
        <v>675000</v>
      </c>
      <c r="U853" s="19"/>
      <c r="V853" s="19"/>
      <c r="W853" s="19"/>
      <c r="X853" s="19"/>
      <c r="Y853" s="19"/>
      <c r="Z853" s="376">
        <f t="shared" si="178"/>
        <v>0</v>
      </c>
      <c r="AA853" s="19"/>
      <c r="AB853" s="376">
        <f t="shared" si="179"/>
        <v>438750</v>
      </c>
      <c r="AC853" s="38">
        <f t="shared" si="187"/>
        <v>438750</v>
      </c>
      <c r="AD853" s="19" t="s">
        <v>5856</v>
      </c>
    </row>
    <row r="854" spans="1:30" s="272" customFormat="1" ht="47.25" x14ac:dyDescent="0.25">
      <c r="A854" s="311">
        <v>851</v>
      </c>
      <c r="B854" s="373">
        <v>44058</v>
      </c>
      <c r="C854" s="358" t="s">
        <v>5857</v>
      </c>
      <c r="D854" s="358"/>
      <c r="E854" s="358" t="s">
        <v>5768</v>
      </c>
      <c r="F854" s="335" t="s">
        <v>5858</v>
      </c>
      <c r="G854" s="269"/>
      <c r="H854" s="335" t="s">
        <v>168</v>
      </c>
      <c r="I854" s="358" t="s">
        <v>5859</v>
      </c>
      <c r="J854" s="269"/>
      <c r="K854" s="269"/>
      <c r="L854" s="266"/>
      <c r="M854" s="278"/>
      <c r="N854" s="439"/>
      <c r="O854" s="649" t="s">
        <v>5860</v>
      </c>
      <c r="P854" s="649" t="s">
        <v>180</v>
      </c>
      <c r="Q854" s="508">
        <v>0</v>
      </c>
      <c r="R854" s="415">
        <v>500000</v>
      </c>
      <c r="S854" s="508">
        <v>0</v>
      </c>
      <c r="T854" s="280">
        <f t="shared" ref="T854" si="200">R854+S854</f>
        <v>500000</v>
      </c>
      <c r="U854" s="266"/>
      <c r="V854" s="266"/>
      <c r="W854" s="266"/>
      <c r="X854" s="266"/>
      <c r="Y854" s="266"/>
      <c r="Z854" s="605">
        <f t="shared" si="178"/>
        <v>0</v>
      </c>
      <c r="AA854" s="266"/>
      <c r="AB854" s="605">
        <f t="shared" si="179"/>
        <v>325000</v>
      </c>
      <c r="AC854" s="607">
        <f t="shared" si="187"/>
        <v>325000</v>
      </c>
      <c r="AD854" s="266"/>
    </row>
    <row r="855" spans="1:30" ht="47.25" x14ac:dyDescent="0.25">
      <c r="A855" s="113">
        <v>852</v>
      </c>
      <c r="B855" s="22">
        <v>44058</v>
      </c>
      <c r="C855" s="148" t="s">
        <v>5861</v>
      </c>
      <c r="D855" s="148"/>
      <c r="E855" s="148" t="s">
        <v>2404</v>
      </c>
      <c r="F855" s="101" t="s">
        <v>5863</v>
      </c>
      <c r="G855" s="10"/>
      <c r="H855" s="101" t="s">
        <v>1177</v>
      </c>
      <c r="I855" s="148" t="s">
        <v>5862</v>
      </c>
      <c r="J855" s="10"/>
      <c r="K855" s="10"/>
      <c r="L855" s="19"/>
      <c r="M855" s="13"/>
      <c r="N855" s="249"/>
      <c r="O855" s="19" t="s">
        <v>5697</v>
      </c>
      <c r="P855" s="19"/>
      <c r="Q855" s="19"/>
      <c r="R855" s="13"/>
      <c r="S855" s="19"/>
      <c r="T855" s="19"/>
      <c r="U855" s="19"/>
      <c r="V855" s="19"/>
      <c r="W855" s="19"/>
      <c r="X855" s="19"/>
      <c r="Y855" s="19"/>
      <c r="Z855" s="376">
        <f t="shared" si="178"/>
        <v>0</v>
      </c>
      <c r="AA855" s="19"/>
      <c r="AB855" s="376">
        <f t="shared" si="179"/>
        <v>0</v>
      </c>
      <c r="AC855" s="38">
        <f t="shared" si="187"/>
        <v>0</v>
      </c>
      <c r="AD855" s="19"/>
    </row>
    <row r="856" spans="1:30" ht="47.25" x14ac:dyDescent="0.25">
      <c r="A856" s="74">
        <v>853</v>
      </c>
      <c r="B856" s="22">
        <v>44060</v>
      </c>
      <c r="C856" s="148" t="s">
        <v>5865</v>
      </c>
      <c r="D856" s="148"/>
      <c r="E856" s="148" t="s">
        <v>5693</v>
      </c>
      <c r="F856" s="101" t="s">
        <v>5864</v>
      </c>
      <c r="G856" s="10"/>
      <c r="H856" s="101" t="s">
        <v>168</v>
      </c>
      <c r="I856" s="148" t="s">
        <v>5866</v>
      </c>
      <c r="J856" s="10"/>
      <c r="K856" s="10"/>
      <c r="L856" s="19"/>
      <c r="M856" s="13"/>
      <c r="N856" s="249"/>
      <c r="O856" s="19" t="s">
        <v>4576</v>
      </c>
      <c r="P856" s="19"/>
      <c r="Q856" s="19"/>
      <c r="R856" s="13"/>
      <c r="S856" s="19"/>
      <c r="T856" s="19"/>
      <c r="U856" s="19"/>
      <c r="V856" s="19"/>
      <c r="W856" s="19"/>
      <c r="X856" s="19"/>
      <c r="Y856" s="19"/>
      <c r="Z856" s="376">
        <f t="shared" si="178"/>
        <v>0</v>
      </c>
      <c r="AA856" s="19"/>
      <c r="AB856" s="376">
        <f t="shared" si="179"/>
        <v>0</v>
      </c>
      <c r="AC856" s="38">
        <f t="shared" si="187"/>
        <v>0</v>
      </c>
      <c r="AD856" s="19"/>
    </row>
    <row r="857" spans="1:30" ht="31.5" x14ac:dyDescent="0.25">
      <c r="A857" s="311">
        <v>854</v>
      </c>
      <c r="B857" s="22">
        <v>44060</v>
      </c>
      <c r="C857" s="148" t="s">
        <v>5867</v>
      </c>
      <c r="D857" s="148"/>
      <c r="E857" s="148" t="s">
        <v>5768</v>
      </c>
      <c r="F857" s="101" t="s">
        <v>5869</v>
      </c>
      <c r="G857" s="10"/>
      <c r="H857" s="101" t="s">
        <v>1177</v>
      </c>
      <c r="I857" s="148" t="s">
        <v>5868</v>
      </c>
      <c r="J857" s="10"/>
      <c r="K857" s="10"/>
      <c r="L857" s="19"/>
      <c r="M857" s="13"/>
      <c r="N857" s="249"/>
      <c r="O857" s="19" t="s">
        <v>4576</v>
      </c>
      <c r="P857" s="19"/>
      <c r="Q857" s="19"/>
      <c r="R857" s="13"/>
      <c r="S857" s="19"/>
      <c r="T857" s="19"/>
      <c r="U857" s="19"/>
      <c r="V857" s="19"/>
      <c r="W857" s="19"/>
      <c r="X857" s="19"/>
      <c r="Y857" s="19"/>
      <c r="Z857" s="376">
        <f t="shared" si="178"/>
        <v>0</v>
      </c>
      <c r="AA857" s="19"/>
      <c r="AB857" s="376">
        <f t="shared" si="179"/>
        <v>0</v>
      </c>
      <c r="AC857" s="38">
        <f t="shared" si="187"/>
        <v>0</v>
      </c>
      <c r="AD857" s="19"/>
    </row>
    <row r="858" spans="1:30" s="272" customFormat="1" ht="63" x14ac:dyDescent="0.25">
      <c r="A858" s="113">
        <v>855</v>
      </c>
      <c r="B858" s="373">
        <v>44060</v>
      </c>
      <c r="C858" s="358" t="s">
        <v>5870</v>
      </c>
      <c r="D858" s="358"/>
      <c r="E858" s="358" t="s">
        <v>3479</v>
      </c>
      <c r="F858" s="335" t="s">
        <v>5872</v>
      </c>
      <c r="G858" s="269"/>
      <c r="H858" s="335" t="s">
        <v>168</v>
      </c>
      <c r="I858" s="358" t="s">
        <v>5871</v>
      </c>
      <c r="J858" s="269"/>
      <c r="K858" s="269"/>
      <c r="L858" s="266"/>
      <c r="M858" s="278"/>
      <c r="N858" s="439"/>
      <c r="O858" s="649" t="s">
        <v>5594</v>
      </c>
      <c r="P858" s="649" t="s">
        <v>180</v>
      </c>
      <c r="Q858" s="508">
        <v>500</v>
      </c>
      <c r="R858" s="415">
        <v>500000</v>
      </c>
      <c r="S858" s="508">
        <v>425000</v>
      </c>
      <c r="T858" s="280">
        <f t="shared" ref="T858:T860" si="201">R858+S858</f>
        <v>925000</v>
      </c>
      <c r="U858" s="266"/>
      <c r="V858" s="266"/>
      <c r="W858" s="266"/>
      <c r="X858" s="266"/>
      <c r="Y858" s="271">
        <v>0.35</v>
      </c>
      <c r="Z858" s="605">
        <f t="shared" si="178"/>
        <v>323750</v>
      </c>
      <c r="AA858" s="266"/>
      <c r="AB858" s="605">
        <f t="shared" si="179"/>
        <v>601250</v>
      </c>
      <c r="AC858" s="607">
        <f t="shared" si="187"/>
        <v>277500</v>
      </c>
      <c r="AD858" s="266"/>
    </row>
    <row r="859" spans="1:30" s="272" customFormat="1" ht="47.25" x14ac:dyDescent="0.25">
      <c r="A859" s="74">
        <v>856</v>
      </c>
      <c r="B859" s="373">
        <v>44060</v>
      </c>
      <c r="C859" s="358" t="s">
        <v>5873</v>
      </c>
      <c r="D859" s="358"/>
      <c r="E859" s="358" t="s">
        <v>3646</v>
      </c>
      <c r="F859" s="335" t="s">
        <v>5875</v>
      </c>
      <c r="G859" s="269"/>
      <c r="H859" s="335" t="s">
        <v>168</v>
      </c>
      <c r="I859" s="358" t="s">
        <v>5874</v>
      </c>
      <c r="J859" s="498" t="s">
        <v>5876</v>
      </c>
      <c r="K859" s="269"/>
      <c r="L859" s="266"/>
      <c r="M859" s="278"/>
      <c r="N859" s="439"/>
      <c r="O859" s="649" t="s">
        <v>5860</v>
      </c>
      <c r="P859" s="649" t="s">
        <v>180</v>
      </c>
      <c r="Q859" s="508">
        <v>0</v>
      </c>
      <c r="R859" s="415">
        <v>500000</v>
      </c>
      <c r="S859" s="508">
        <v>0</v>
      </c>
      <c r="T859" s="280">
        <f t="shared" si="201"/>
        <v>500000</v>
      </c>
      <c r="U859" s="266"/>
      <c r="V859" s="266"/>
      <c r="W859" s="266"/>
      <c r="X859" s="266"/>
      <c r="Y859" s="271">
        <v>0.35</v>
      </c>
      <c r="Z859" s="605">
        <f t="shared" si="178"/>
        <v>175000</v>
      </c>
      <c r="AA859" s="266"/>
      <c r="AB859" s="605">
        <f t="shared" si="179"/>
        <v>325000</v>
      </c>
      <c r="AC859" s="607">
        <f t="shared" si="187"/>
        <v>150000</v>
      </c>
      <c r="AD859" s="266"/>
    </row>
    <row r="860" spans="1:30" s="272" customFormat="1" ht="47.25" x14ac:dyDescent="0.25">
      <c r="A860" s="311">
        <v>857</v>
      </c>
      <c r="B860" s="373">
        <v>44060</v>
      </c>
      <c r="C860" s="358" t="s">
        <v>5877</v>
      </c>
      <c r="D860" s="358"/>
      <c r="E860" s="358" t="s">
        <v>3479</v>
      </c>
      <c r="F860" s="335" t="s">
        <v>5879</v>
      </c>
      <c r="G860" s="269"/>
      <c r="H860" s="335" t="s">
        <v>168</v>
      </c>
      <c r="I860" s="358" t="s">
        <v>5878</v>
      </c>
      <c r="J860" s="269"/>
      <c r="K860" s="269"/>
      <c r="L860" s="266"/>
      <c r="M860" s="278"/>
      <c r="N860" s="439"/>
      <c r="O860" s="649" t="s">
        <v>4918</v>
      </c>
      <c r="P860" s="649" t="s">
        <v>180</v>
      </c>
      <c r="Q860" s="508">
        <v>300</v>
      </c>
      <c r="R860" s="415">
        <v>500000</v>
      </c>
      <c r="S860" s="508">
        <v>300000</v>
      </c>
      <c r="T860" s="280">
        <f t="shared" si="201"/>
        <v>800000</v>
      </c>
      <c r="U860" s="266"/>
      <c r="V860" s="266"/>
      <c r="W860" s="266"/>
      <c r="X860" s="266"/>
      <c r="Y860" s="271">
        <v>0.35</v>
      </c>
      <c r="Z860" s="605">
        <f t="shared" si="178"/>
        <v>280000</v>
      </c>
      <c r="AA860" s="266"/>
      <c r="AB860" s="605">
        <f t="shared" si="179"/>
        <v>520000</v>
      </c>
      <c r="AC860" s="607">
        <f t="shared" si="187"/>
        <v>240000</v>
      </c>
      <c r="AD860" s="266"/>
    </row>
    <row r="861" spans="1:30" ht="63" x14ac:dyDescent="0.25">
      <c r="A861" s="113">
        <v>858</v>
      </c>
      <c r="B861" s="22">
        <v>44060</v>
      </c>
      <c r="C861" s="148" t="s">
        <v>5880</v>
      </c>
      <c r="D861" s="148"/>
      <c r="E861" s="148" t="s">
        <v>5768</v>
      </c>
      <c r="F861" s="101" t="s">
        <v>5881</v>
      </c>
      <c r="G861" s="10"/>
      <c r="H861" s="101" t="s">
        <v>168</v>
      </c>
      <c r="I861" s="148" t="s">
        <v>5882</v>
      </c>
      <c r="J861" s="10"/>
      <c r="K861" s="10"/>
      <c r="L861" s="19"/>
      <c r="M861" s="13"/>
      <c r="N861" s="249"/>
      <c r="O861" s="19" t="s">
        <v>4576</v>
      </c>
      <c r="P861" s="19"/>
      <c r="Q861" s="19"/>
      <c r="R861" s="13"/>
      <c r="S861" s="19"/>
      <c r="T861" s="19"/>
      <c r="U861" s="19"/>
      <c r="V861" s="19"/>
      <c r="W861" s="19"/>
      <c r="X861" s="19"/>
      <c r="Y861" s="19"/>
      <c r="Z861" s="376">
        <f t="shared" si="178"/>
        <v>0</v>
      </c>
      <c r="AA861" s="19"/>
      <c r="AB861" s="376">
        <f t="shared" si="179"/>
        <v>0</v>
      </c>
      <c r="AC861" s="38">
        <f t="shared" si="187"/>
        <v>0</v>
      </c>
      <c r="AD861" s="19"/>
    </row>
    <row r="862" spans="1:30" ht="47.25" x14ac:dyDescent="0.25">
      <c r="A862" s="74">
        <v>859</v>
      </c>
      <c r="B862" s="22">
        <v>44060</v>
      </c>
      <c r="C862" s="148" t="s">
        <v>5883</v>
      </c>
      <c r="D862" s="148"/>
      <c r="E862" s="148" t="s">
        <v>3479</v>
      </c>
      <c r="F862" s="101" t="s">
        <v>5885</v>
      </c>
      <c r="G862" s="10"/>
      <c r="H862" s="101" t="s">
        <v>168</v>
      </c>
      <c r="I862" s="148" t="s">
        <v>5884</v>
      </c>
      <c r="J862" s="10"/>
      <c r="K862" s="10"/>
      <c r="L862" s="19"/>
      <c r="M862" s="13"/>
      <c r="N862" s="249"/>
      <c r="O862" s="693" t="s">
        <v>5860</v>
      </c>
      <c r="P862" s="693" t="s">
        <v>180</v>
      </c>
      <c r="Q862" s="365">
        <v>0</v>
      </c>
      <c r="R862" s="364">
        <v>500000</v>
      </c>
      <c r="S862" s="365">
        <v>0</v>
      </c>
      <c r="T862" s="219">
        <f t="shared" ref="T862:T863" si="202">R862+S862</f>
        <v>500000</v>
      </c>
      <c r="U862" s="19"/>
      <c r="V862" s="19"/>
      <c r="W862" s="19"/>
      <c r="X862" s="19"/>
      <c r="Y862" s="165">
        <v>0.35</v>
      </c>
      <c r="Z862" s="376">
        <f t="shared" si="178"/>
        <v>175000</v>
      </c>
      <c r="AA862" s="19"/>
      <c r="AB862" s="376">
        <f t="shared" si="179"/>
        <v>325000</v>
      </c>
      <c r="AC862" s="38">
        <f t="shared" si="187"/>
        <v>150000</v>
      </c>
      <c r="AD862" s="19" t="s">
        <v>5886</v>
      </c>
    </row>
    <row r="863" spans="1:30" s="272" customFormat="1" ht="31.5" x14ac:dyDescent="0.25">
      <c r="A863" s="311">
        <v>860</v>
      </c>
      <c r="B863" s="373">
        <v>44060</v>
      </c>
      <c r="C863" s="358" t="s">
        <v>5887</v>
      </c>
      <c r="D863" s="358"/>
      <c r="E863" s="358" t="s">
        <v>3479</v>
      </c>
      <c r="F863" s="335" t="s">
        <v>5889</v>
      </c>
      <c r="G863" s="269"/>
      <c r="H863" s="335" t="s">
        <v>168</v>
      </c>
      <c r="I863" s="358" t="s">
        <v>5888</v>
      </c>
      <c r="J863" s="269"/>
      <c r="K863" s="269"/>
      <c r="L863" s="266"/>
      <c r="M863" s="278"/>
      <c r="N863" s="439"/>
      <c r="O863" s="649" t="s">
        <v>4918</v>
      </c>
      <c r="P863" s="649" t="s">
        <v>180</v>
      </c>
      <c r="Q863" s="508">
        <v>300</v>
      </c>
      <c r="R863" s="415">
        <v>500000</v>
      </c>
      <c r="S863" s="508">
        <v>300000</v>
      </c>
      <c r="T863" s="280">
        <f t="shared" si="202"/>
        <v>800000</v>
      </c>
      <c r="U863" s="266"/>
      <c r="V863" s="266"/>
      <c r="W863" s="266"/>
      <c r="X863" s="266"/>
      <c r="Y863" s="271">
        <v>0.35</v>
      </c>
      <c r="Z863" s="605">
        <f t="shared" si="178"/>
        <v>280000</v>
      </c>
      <c r="AA863" s="266"/>
      <c r="AB863" s="605">
        <f t="shared" si="179"/>
        <v>520000</v>
      </c>
      <c r="AC863" s="607">
        <f t="shared" si="187"/>
        <v>240000</v>
      </c>
      <c r="AD863" s="266"/>
    </row>
    <row r="864" spans="1:30" ht="47.25" x14ac:dyDescent="0.25">
      <c r="A864" s="113">
        <v>861</v>
      </c>
      <c r="B864" s="22">
        <v>44060</v>
      </c>
      <c r="C864" s="148" t="s">
        <v>5890</v>
      </c>
      <c r="D864" s="148"/>
      <c r="E864" s="148" t="s">
        <v>2404</v>
      </c>
      <c r="F864" s="101" t="s">
        <v>5892</v>
      </c>
      <c r="G864" s="10"/>
      <c r="H864" s="101" t="s">
        <v>1177</v>
      </c>
      <c r="I864" s="148" t="s">
        <v>5891</v>
      </c>
      <c r="J864" s="10"/>
      <c r="K864" s="10"/>
      <c r="L864" s="19"/>
      <c r="M864" s="13"/>
      <c r="N864" s="249"/>
      <c r="O864" s="19" t="s">
        <v>5697</v>
      </c>
      <c r="P864" s="19"/>
      <c r="Q864" s="19"/>
      <c r="R864" s="13"/>
      <c r="S864" s="19"/>
      <c r="T864" s="19"/>
      <c r="U864" s="19"/>
      <c r="V864" s="19"/>
      <c r="W864" s="19"/>
      <c r="X864" s="19"/>
      <c r="Y864" s="19"/>
      <c r="Z864" s="376">
        <f t="shared" si="178"/>
        <v>0</v>
      </c>
      <c r="AA864" s="19"/>
      <c r="AB864" s="376">
        <f t="shared" si="179"/>
        <v>0</v>
      </c>
      <c r="AC864" s="38">
        <f t="shared" si="187"/>
        <v>0</v>
      </c>
      <c r="AD864" s="19"/>
    </row>
    <row r="865" spans="1:31" s="272" customFormat="1" ht="47.25" x14ac:dyDescent="0.25">
      <c r="A865" s="74">
        <v>862</v>
      </c>
      <c r="B865" s="373">
        <v>44060</v>
      </c>
      <c r="C865" s="358" t="s">
        <v>5893</v>
      </c>
      <c r="D865" s="358"/>
      <c r="E865" s="358" t="s">
        <v>2404</v>
      </c>
      <c r="F865" s="335" t="s">
        <v>5895</v>
      </c>
      <c r="G865" s="269"/>
      <c r="H865" s="335" t="s">
        <v>1177</v>
      </c>
      <c r="I865" s="358" t="s">
        <v>5894</v>
      </c>
      <c r="J865" s="269"/>
      <c r="K865" s="269"/>
      <c r="L865" s="266"/>
      <c r="M865" s="278"/>
      <c r="N865" s="439"/>
      <c r="O865" s="649" t="s">
        <v>5594</v>
      </c>
      <c r="P865" s="649" t="s">
        <v>180</v>
      </c>
      <c r="Q865" s="508">
        <v>500</v>
      </c>
      <c r="R865" s="415">
        <v>500000</v>
      </c>
      <c r="S865" s="508">
        <v>425000</v>
      </c>
      <c r="T865" s="280">
        <f t="shared" ref="T865" si="203">R865+S865</f>
        <v>925000</v>
      </c>
      <c r="U865" s="266"/>
      <c r="V865" s="266"/>
      <c r="W865" s="266"/>
      <c r="X865" s="266"/>
      <c r="Y865" s="271">
        <v>0.35</v>
      </c>
      <c r="Z865" s="605">
        <f t="shared" si="178"/>
        <v>323750</v>
      </c>
      <c r="AA865" s="266"/>
      <c r="AB865" s="605">
        <f t="shared" si="179"/>
        <v>601250</v>
      </c>
      <c r="AC865" s="607">
        <f t="shared" si="187"/>
        <v>277500</v>
      </c>
      <c r="AD865" s="266"/>
    </row>
    <row r="866" spans="1:31" s="272" customFormat="1" ht="31.5" x14ac:dyDescent="0.25">
      <c r="A866" s="311">
        <v>863</v>
      </c>
      <c r="B866" s="373">
        <v>44060</v>
      </c>
      <c r="C866" s="358" t="s">
        <v>5896</v>
      </c>
      <c r="D866" s="358"/>
      <c r="E866" s="358" t="s">
        <v>3646</v>
      </c>
      <c r="F866" s="335" t="s">
        <v>5897</v>
      </c>
      <c r="G866" s="269"/>
      <c r="H866" s="335" t="s">
        <v>1256</v>
      </c>
      <c r="I866" s="358" t="s">
        <v>5898</v>
      </c>
      <c r="J866" s="269"/>
      <c r="K866" s="269"/>
      <c r="L866" s="266"/>
      <c r="M866" s="278"/>
      <c r="N866" s="439"/>
      <c r="O866" s="649" t="s">
        <v>5594</v>
      </c>
      <c r="P866" s="649" t="s">
        <v>180</v>
      </c>
      <c r="Q866" s="508">
        <v>500</v>
      </c>
      <c r="R866" s="415">
        <v>500000</v>
      </c>
      <c r="S866" s="508">
        <v>425000</v>
      </c>
      <c r="T866" s="280">
        <f t="shared" ref="T866:T868" si="204">R866+S866</f>
        <v>925000</v>
      </c>
      <c r="U866" s="266"/>
      <c r="V866" s="266"/>
      <c r="W866" s="266"/>
      <c r="X866" s="266"/>
      <c r="Y866" s="266"/>
      <c r="Z866" s="605">
        <f t="shared" ref="Z866:Z929" si="205">T866*Y866</f>
        <v>0</v>
      </c>
      <c r="AA866" s="266"/>
      <c r="AB866" s="605">
        <f t="shared" si="179"/>
        <v>601250</v>
      </c>
      <c r="AC866" s="607">
        <f t="shared" si="187"/>
        <v>601250</v>
      </c>
      <c r="AD866" s="266"/>
    </row>
    <row r="867" spans="1:31" s="272" customFormat="1" ht="47.25" x14ac:dyDescent="0.25">
      <c r="A867" s="113">
        <v>864</v>
      </c>
      <c r="B867" s="373">
        <v>44060</v>
      </c>
      <c r="C867" s="358" t="s">
        <v>5899</v>
      </c>
      <c r="D867" s="358"/>
      <c r="E867" s="358" t="s">
        <v>3646</v>
      </c>
      <c r="F867" s="335" t="s">
        <v>5901</v>
      </c>
      <c r="G867" s="269"/>
      <c r="H867" s="335" t="s">
        <v>168</v>
      </c>
      <c r="I867" s="358" t="s">
        <v>5900</v>
      </c>
      <c r="J867" s="498" t="s">
        <v>5876</v>
      </c>
      <c r="K867" s="269"/>
      <c r="L867" s="266"/>
      <c r="M867" s="278"/>
      <c r="N867" s="439"/>
      <c r="O867" s="649" t="s">
        <v>5860</v>
      </c>
      <c r="P867" s="649" t="s">
        <v>180</v>
      </c>
      <c r="Q867" s="508">
        <v>0</v>
      </c>
      <c r="R867" s="415">
        <v>500000</v>
      </c>
      <c r="S867" s="508">
        <v>0</v>
      </c>
      <c r="T867" s="280">
        <f t="shared" si="204"/>
        <v>500000</v>
      </c>
      <c r="U867" s="266"/>
      <c r="V867" s="266"/>
      <c r="W867" s="266"/>
      <c r="X867" s="266"/>
      <c r="Y867" s="266"/>
      <c r="Z867" s="605">
        <f t="shared" si="205"/>
        <v>0</v>
      </c>
      <c r="AA867" s="266"/>
      <c r="AB867" s="605">
        <f t="shared" ref="AB867:AB930" si="206">T867*0.65</f>
        <v>325000</v>
      </c>
      <c r="AC867" s="607">
        <f t="shared" si="187"/>
        <v>325000</v>
      </c>
      <c r="AD867" s="266"/>
    </row>
    <row r="868" spans="1:31" s="272" customFormat="1" ht="47.25" x14ac:dyDescent="0.25">
      <c r="A868" s="74">
        <v>865</v>
      </c>
      <c r="B868" s="373">
        <v>44060</v>
      </c>
      <c r="C868" s="358" t="s">
        <v>5902</v>
      </c>
      <c r="D868" s="358"/>
      <c r="E868" s="358" t="s">
        <v>3479</v>
      </c>
      <c r="F868" s="335" t="s">
        <v>5904</v>
      </c>
      <c r="G868" s="269"/>
      <c r="H868" s="335" t="s">
        <v>168</v>
      </c>
      <c r="I868" s="358" t="s">
        <v>5903</v>
      </c>
      <c r="J868" s="269"/>
      <c r="K868" s="269"/>
      <c r="L868" s="266"/>
      <c r="M868" s="278"/>
      <c r="N868" s="439"/>
      <c r="O868" s="649" t="s">
        <v>4918</v>
      </c>
      <c r="P868" s="649" t="s">
        <v>180</v>
      </c>
      <c r="Q868" s="508">
        <v>300</v>
      </c>
      <c r="R868" s="415">
        <v>500000</v>
      </c>
      <c r="S868" s="508">
        <v>300000</v>
      </c>
      <c r="T868" s="280">
        <f t="shared" si="204"/>
        <v>800000</v>
      </c>
      <c r="U868" s="266"/>
      <c r="V868" s="266"/>
      <c r="W868" s="266"/>
      <c r="X868" s="266"/>
      <c r="Y868" s="266"/>
      <c r="Z868" s="605">
        <f t="shared" si="205"/>
        <v>0</v>
      </c>
      <c r="AA868" s="266"/>
      <c r="AB868" s="605">
        <f t="shared" si="206"/>
        <v>520000</v>
      </c>
      <c r="AC868" s="607">
        <f t="shared" si="187"/>
        <v>520000</v>
      </c>
      <c r="AD868" s="266"/>
    </row>
    <row r="869" spans="1:31" ht="47.25" x14ac:dyDescent="0.25">
      <c r="A869" s="311">
        <v>866</v>
      </c>
      <c r="B869" s="22">
        <v>44060</v>
      </c>
      <c r="C869" s="148" t="s">
        <v>5905</v>
      </c>
      <c r="D869" s="148"/>
      <c r="E869" s="148" t="s">
        <v>5693</v>
      </c>
      <c r="F869" s="101" t="s">
        <v>5694</v>
      </c>
      <c r="G869" s="10"/>
      <c r="H869" s="101" t="s">
        <v>1639</v>
      </c>
      <c r="I869" s="148" t="s">
        <v>5906</v>
      </c>
      <c r="J869" s="10"/>
      <c r="K869" s="10"/>
      <c r="L869" s="19"/>
      <c r="M869" s="13"/>
      <c r="N869" s="249"/>
      <c r="O869" s="19" t="s">
        <v>5697</v>
      </c>
      <c r="P869" s="19"/>
      <c r="Q869" s="19"/>
      <c r="R869" s="13"/>
      <c r="S869" s="19"/>
      <c r="T869" s="19"/>
      <c r="U869" s="19"/>
      <c r="V869" s="19"/>
      <c r="W869" s="19"/>
      <c r="X869" s="19"/>
      <c r="Y869" s="19"/>
      <c r="Z869" s="376">
        <f t="shared" si="205"/>
        <v>0</v>
      </c>
      <c r="AA869" s="19"/>
      <c r="AB869" s="376">
        <f t="shared" si="206"/>
        <v>0</v>
      </c>
      <c r="AC869" s="38">
        <f t="shared" si="187"/>
        <v>0</v>
      </c>
      <c r="AD869" s="19"/>
    </row>
    <row r="870" spans="1:31" s="272" customFormat="1" ht="47.25" x14ac:dyDescent="0.25">
      <c r="A870" s="113">
        <v>867</v>
      </c>
      <c r="B870" s="373">
        <v>44060</v>
      </c>
      <c r="C870" s="358" t="s">
        <v>5907</v>
      </c>
      <c r="D870" s="358"/>
      <c r="E870" s="358" t="s">
        <v>3479</v>
      </c>
      <c r="F870" s="335" t="s">
        <v>5909</v>
      </c>
      <c r="G870" s="269"/>
      <c r="H870" s="335" t="s">
        <v>168</v>
      </c>
      <c r="I870" s="358" t="s">
        <v>5908</v>
      </c>
      <c r="J870" s="269"/>
      <c r="K870" s="269"/>
      <c r="L870" s="266"/>
      <c r="M870" s="278"/>
      <c r="N870" s="439"/>
      <c r="O870" s="649" t="s">
        <v>4918</v>
      </c>
      <c r="P870" s="649" t="s">
        <v>180</v>
      </c>
      <c r="Q870" s="508">
        <v>300</v>
      </c>
      <c r="R870" s="415">
        <v>500000</v>
      </c>
      <c r="S870" s="508">
        <v>300000</v>
      </c>
      <c r="T870" s="280">
        <f t="shared" ref="T870" si="207">R870+S870</f>
        <v>800000</v>
      </c>
      <c r="U870" s="266"/>
      <c r="V870" s="266"/>
      <c r="W870" s="266"/>
      <c r="X870" s="266"/>
      <c r="Y870" s="266"/>
      <c r="Z870" s="605">
        <f t="shared" si="205"/>
        <v>0</v>
      </c>
      <c r="AA870" s="266"/>
      <c r="AB870" s="605">
        <f t="shared" si="206"/>
        <v>520000</v>
      </c>
      <c r="AC870" s="607">
        <f t="shared" si="187"/>
        <v>520000</v>
      </c>
      <c r="AD870" s="266"/>
    </row>
    <row r="871" spans="1:31" ht="47.25" x14ac:dyDescent="0.25">
      <c r="A871" s="74">
        <v>868</v>
      </c>
      <c r="B871" s="22">
        <v>44060</v>
      </c>
      <c r="C871" s="148" t="s">
        <v>5910</v>
      </c>
      <c r="D871" s="148"/>
      <c r="E871" s="148" t="s">
        <v>2404</v>
      </c>
      <c r="F871" s="101" t="s">
        <v>5912</v>
      </c>
      <c r="G871" s="10"/>
      <c r="H871" s="101" t="s">
        <v>1177</v>
      </c>
      <c r="I871" s="148" t="s">
        <v>5911</v>
      </c>
      <c r="J871" s="10"/>
      <c r="K871" s="10"/>
      <c r="L871" s="19"/>
      <c r="M871" s="13"/>
      <c r="N871" s="249"/>
      <c r="O871" s="19" t="s">
        <v>5697</v>
      </c>
      <c r="P871" s="19"/>
      <c r="Q871" s="19"/>
      <c r="R871" s="13"/>
      <c r="S871" s="19"/>
      <c r="T871" s="19"/>
      <c r="U871" s="19"/>
      <c r="V871" s="19"/>
      <c r="W871" s="19"/>
      <c r="X871" s="19"/>
      <c r="Y871" s="19"/>
      <c r="Z871" s="376">
        <f t="shared" si="205"/>
        <v>0</v>
      </c>
      <c r="AA871" s="19"/>
      <c r="AB871" s="376">
        <f t="shared" si="206"/>
        <v>0</v>
      </c>
      <c r="AC871" s="38">
        <f t="shared" si="187"/>
        <v>0</v>
      </c>
      <c r="AD871" s="19"/>
    </row>
    <row r="872" spans="1:31" ht="63" x14ac:dyDescent="0.25">
      <c r="A872" s="311">
        <v>869</v>
      </c>
      <c r="B872" s="22">
        <v>44060</v>
      </c>
      <c r="C872" s="148" t="s">
        <v>5913</v>
      </c>
      <c r="D872" s="148"/>
      <c r="E872" s="148" t="s">
        <v>2404</v>
      </c>
      <c r="F872" s="101" t="s">
        <v>5915</v>
      </c>
      <c r="G872" s="10"/>
      <c r="H872" s="101" t="s">
        <v>1177</v>
      </c>
      <c r="I872" s="148" t="s">
        <v>5914</v>
      </c>
      <c r="J872" s="10"/>
      <c r="K872" s="10"/>
      <c r="L872" s="19"/>
      <c r="M872" s="13"/>
      <c r="N872" s="249"/>
      <c r="O872" s="19" t="s">
        <v>5697</v>
      </c>
      <c r="P872" s="19"/>
      <c r="Q872" s="19"/>
      <c r="R872" s="13"/>
      <c r="S872" s="19"/>
      <c r="T872" s="19"/>
      <c r="U872" s="19"/>
      <c r="V872" s="19"/>
      <c r="W872" s="19"/>
      <c r="X872" s="19"/>
      <c r="Y872" s="19"/>
      <c r="Z872" s="376">
        <f t="shared" si="205"/>
        <v>0</v>
      </c>
      <c r="AA872" s="19"/>
      <c r="AB872" s="376">
        <f t="shared" si="206"/>
        <v>0</v>
      </c>
      <c r="AC872" s="38">
        <f t="shared" si="187"/>
        <v>0</v>
      </c>
      <c r="AD872" s="19"/>
    </row>
    <row r="873" spans="1:31" s="272" customFormat="1" ht="47.25" x14ac:dyDescent="0.25">
      <c r="A873" s="113">
        <v>870</v>
      </c>
      <c r="B873" s="544">
        <v>44060</v>
      </c>
      <c r="C873" s="545" t="s">
        <v>4814</v>
      </c>
      <c r="D873" s="545"/>
      <c r="E873" s="545" t="s">
        <v>2404</v>
      </c>
      <c r="F873" s="546" t="s">
        <v>4815</v>
      </c>
      <c r="G873" s="507"/>
      <c r="H873" s="546" t="s">
        <v>322</v>
      </c>
      <c r="I873" s="545" t="s">
        <v>4816</v>
      </c>
      <c r="J873" s="507"/>
      <c r="K873" s="507"/>
      <c r="L873" s="506"/>
      <c r="M873" s="547"/>
      <c r="N873" s="548"/>
      <c r="O873" s="694" t="s">
        <v>4918</v>
      </c>
      <c r="P873" s="694" t="s">
        <v>94</v>
      </c>
      <c r="Q873" s="508"/>
      <c r="R873" s="415">
        <v>500000</v>
      </c>
      <c r="S873" s="508"/>
      <c r="T873" s="695">
        <f t="shared" ref="T873:T874" si="208">R873+S873</f>
        <v>500000</v>
      </c>
      <c r="U873" s="506"/>
      <c r="V873" s="506"/>
      <c r="W873" s="506"/>
      <c r="X873" s="506"/>
      <c r="Y873" s="557">
        <v>0.4</v>
      </c>
      <c r="Z873" s="608">
        <f t="shared" si="205"/>
        <v>200000</v>
      </c>
      <c r="AA873" s="506"/>
      <c r="AB873" s="608">
        <f t="shared" si="206"/>
        <v>325000</v>
      </c>
      <c r="AC873" s="696">
        <f t="shared" si="187"/>
        <v>125000</v>
      </c>
      <c r="AD873" s="506"/>
    </row>
    <row r="874" spans="1:31" ht="63" x14ac:dyDescent="0.25">
      <c r="A874" s="74">
        <v>871</v>
      </c>
      <c r="B874" s="22">
        <v>44060</v>
      </c>
      <c r="C874" s="148" t="s">
        <v>5796</v>
      </c>
      <c r="D874" s="148"/>
      <c r="E874" s="148" t="s">
        <v>457</v>
      </c>
      <c r="F874" s="101" t="s">
        <v>5798</v>
      </c>
      <c r="G874" s="10"/>
      <c r="H874" s="101" t="s">
        <v>168</v>
      </c>
      <c r="I874" s="148" t="s">
        <v>5797</v>
      </c>
      <c r="J874" s="10"/>
      <c r="K874" s="10"/>
      <c r="L874" s="19"/>
      <c r="M874" s="13"/>
      <c r="N874" s="249"/>
      <c r="O874" s="693" t="s">
        <v>4918</v>
      </c>
      <c r="P874" s="693" t="s">
        <v>180</v>
      </c>
      <c r="Q874" s="365">
        <v>300</v>
      </c>
      <c r="R874" s="364">
        <v>500000</v>
      </c>
      <c r="S874" s="365">
        <v>300000</v>
      </c>
      <c r="T874" s="219">
        <f t="shared" si="208"/>
        <v>800000</v>
      </c>
      <c r="U874" s="19"/>
      <c r="V874" s="19"/>
      <c r="W874" s="19"/>
      <c r="X874" s="19"/>
      <c r="Y874" s="363">
        <v>0.4</v>
      </c>
      <c r="Z874" s="376">
        <f t="shared" si="205"/>
        <v>320000</v>
      </c>
      <c r="AA874" s="19"/>
      <c r="AB874" s="376">
        <f t="shared" si="206"/>
        <v>520000</v>
      </c>
      <c r="AC874" s="38">
        <f t="shared" si="187"/>
        <v>200000</v>
      </c>
      <c r="AD874" s="19" t="s">
        <v>5916</v>
      </c>
      <c r="AE874" s="19"/>
    </row>
    <row r="875" spans="1:31" ht="31.5" x14ac:dyDescent="0.25">
      <c r="A875" s="311">
        <v>872</v>
      </c>
      <c r="B875" s="22">
        <v>44060</v>
      </c>
      <c r="C875" s="148" t="s">
        <v>5917</v>
      </c>
      <c r="D875" s="148"/>
      <c r="E875" s="148" t="s">
        <v>457</v>
      </c>
      <c r="F875" s="101" t="s">
        <v>5700</v>
      </c>
      <c r="G875" s="10"/>
      <c r="H875" s="101" t="s">
        <v>168</v>
      </c>
      <c r="I875" s="148" t="s">
        <v>5699</v>
      </c>
      <c r="J875" s="10"/>
      <c r="K875" s="10"/>
      <c r="L875" s="19"/>
      <c r="M875" s="13"/>
      <c r="N875" s="249"/>
      <c r="O875" s="693" t="s">
        <v>4918</v>
      </c>
      <c r="P875" s="693" t="s">
        <v>180</v>
      </c>
      <c r="Q875" s="365">
        <v>300</v>
      </c>
      <c r="R875" s="364">
        <v>500000</v>
      </c>
      <c r="S875" s="365">
        <v>300000</v>
      </c>
      <c r="T875" s="219">
        <f t="shared" ref="T875" si="209">R875+S875</f>
        <v>800000</v>
      </c>
      <c r="U875" s="19"/>
      <c r="V875" s="19"/>
      <c r="W875" s="19"/>
      <c r="X875" s="19"/>
      <c r="Y875" s="363">
        <v>0.4</v>
      </c>
      <c r="Z875" s="376">
        <f t="shared" si="205"/>
        <v>320000</v>
      </c>
      <c r="AA875" s="19"/>
      <c r="AB875" s="376">
        <f t="shared" si="206"/>
        <v>520000</v>
      </c>
      <c r="AC875" s="38">
        <f t="shared" si="187"/>
        <v>200000</v>
      </c>
      <c r="AD875" s="19" t="s">
        <v>5702</v>
      </c>
      <c r="AE875" s="19"/>
    </row>
    <row r="876" spans="1:31" ht="63" x14ac:dyDescent="0.25">
      <c r="A876" s="113">
        <v>873</v>
      </c>
      <c r="B876" s="22">
        <v>44060</v>
      </c>
      <c r="C876" s="148" t="s">
        <v>5918</v>
      </c>
      <c r="D876" s="148"/>
      <c r="E876" s="148" t="s">
        <v>2404</v>
      </c>
      <c r="F876" s="101" t="s">
        <v>5920</v>
      </c>
      <c r="G876" s="10"/>
      <c r="H876" s="101" t="s">
        <v>1177</v>
      </c>
      <c r="I876" s="148" t="s">
        <v>5919</v>
      </c>
      <c r="J876" s="10"/>
      <c r="K876" s="10"/>
      <c r="L876" s="19"/>
      <c r="M876" s="13"/>
      <c r="N876" s="249"/>
      <c r="O876" s="19" t="s">
        <v>1145</v>
      </c>
      <c r="P876" s="19"/>
      <c r="Q876" s="19"/>
      <c r="R876" s="13"/>
      <c r="S876" s="19"/>
      <c r="T876" s="19"/>
      <c r="U876" s="19"/>
      <c r="V876" s="19"/>
      <c r="W876" s="19"/>
      <c r="X876" s="19"/>
      <c r="Y876" s="19"/>
      <c r="Z876" s="376">
        <f t="shared" si="205"/>
        <v>0</v>
      </c>
      <c r="AA876" s="19"/>
      <c r="AB876" s="376">
        <f t="shared" si="206"/>
        <v>0</v>
      </c>
      <c r="AC876" s="38">
        <f t="shared" si="187"/>
        <v>0</v>
      </c>
      <c r="AD876" s="19"/>
      <c r="AE876" s="19"/>
    </row>
    <row r="877" spans="1:31" s="272" customFormat="1" ht="63" x14ac:dyDescent="0.25">
      <c r="A877" s="74">
        <v>874</v>
      </c>
      <c r="B877" s="373">
        <v>44060</v>
      </c>
      <c r="C877" s="358" t="s">
        <v>5921</v>
      </c>
      <c r="D877" s="358"/>
      <c r="E877" s="358" t="s">
        <v>3479</v>
      </c>
      <c r="F877" s="335" t="s">
        <v>5923</v>
      </c>
      <c r="G877" s="269"/>
      <c r="H877" s="335" t="s">
        <v>345</v>
      </c>
      <c r="I877" s="358" t="s">
        <v>5922</v>
      </c>
      <c r="J877" s="269"/>
      <c r="K877" s="269"/>
      <c r="L877" s="266"/>
      <c r="M877" s="278"/>
      <c r="N877" s="439"/>
      <c r="O877" s="649" t="s">
        <v>4918</v>
      </c>
      <c r="P877" s="649" t="s">
        <v>180</v>
      </c>
      <c r="Q877" s="508">
        <v>300</v>
      </c>
      <c r="R877" s="415">
        <v>500000</v>
      </c>
      <c r="S877" s="508">
        <v>300000</v>
      </c>
      <c r="T877" s="280">
        <f t="shared" ref="T877" si="210">R877+S877</f>
        <v>800000</v>
      </c>
      <c r="U877" s="266"/>
      <c r="V877" s="266"/>
      <c r="W877" s="266"/>
      <c r="X877" s="266"/>
      <c r="Y877" s="271">
        <v>0.4</v>
      </c>
      <c r="Z877" s="605">
        <f t="shared" si="205"/>
        <v>320000</v>
      </c>
      <c r="AA877" s="266"/>
      <c r="AB877" s="605">
        <f t="shared" si="206"/>
        <v>520000</v>
      </c>
      <c r="AC877" s="607">
        <f t="shared" si="187"/>
        <v>200000</v>
      </c>
      <c r="AD877" s="266"/>
      <c r="AE877" s="266"/>
    </row>
    <row r="878" spans="1:31" s="481" customFormat="1" ht="47.25" x14ac:dyDescent="0.25">
      <c r="A878" s="702">
        <v>875</v>
      </c>
      <c r="B878" s="476">
        <v>44061</v>
      </c>
      <c r="C878" s="477" t="s">
        <v>5924</v>
      </c>
      <c r="D878" s="477" t="s">
        <v>5925</v>
      </c>
      <c r="E878" s="477" t="s">
        <v>457</v>
      </c>
      <c r="F878" s="478" t="s">
        <v>5926</v>
      </c>
      <c r="G878" s="274"/>
      <c r="H878" s="478" t="s">
        <v>168</v>
      </c>
      <c r="I878" s="477" t="s">
        <v>5927</v>
      </c>
      <c r="J878" s="274" t="s">
        <v>6599</v>
      </c>
      <c r="K878" s="274"/>
      <c r="L878" s="274"/>
      <c r="M878" s="273"/>
      <c r="N878" s="479"/>
      <c r="O878" s="649" t="s">
        <v>5928</v>
      </c>
      <c r="P878" s="649" t="s">
        <v>180</v>
      </c>
      <c r="Q878" s="508">
        <v>2000</v>
      </c>
      <c r="R878" s="415">
        <v>500000</v>
      </c>
      <c r="S878" s="508">
        <v>1100000</v>
      </c>
      <c r="T878" s="280">
        <f t="shared" ref="T878:T879" si="211">R878+S878</f>
        <v>1600000</v>
      </c>
      <c r="U878" s="274"/>
      <c r="V878" s="274"/>
      <c r="W878" s="274"/>
      <c r="X878" s="274"/>
      <c r="Y878" s="274"/>
      <c r="Z878" s="605">
        <f t="shared" si="205"/>
        <v>0</v>
      </c>
      <c r="AA878" s="274"/>
      <c r="AB878" s="605">
        <f t="shared" si="206"/>
        <v>1040000</v>
      </c>
      <c r="AC878" s="605">
        <f t="shared" si="187"/>
        <v>1040000</v>
      </c>
      <c r="AD878" s="274"/>
      <c r="AE878" s="274"/>
    </row>
    <row r="879" spans="1:31" s="272" customFormat="1" ht="47.25" x14ac:dyDescent="0.25">
      <c r="A879" s="113">
        <v>876</v>
      </c>
      <c r="B879" s="373">
        <v>44061</v>
      </c>
      <c r="C879" s="358" t="s">
        <v>5929</v>
      </c>
      <c r="D879" s="358"/>
      <c r="E879" s="358" t="s">
        <v>457</v>
      </c>
      <c r="F879" s="335" t="s">
        <v>5931</v>
      </c>
      <c r="G879" s="269"/>
      <c r="H879" s="335" t="s">
        <v>1177</v>
      </c>
      <c r="I879" s="358" t="s">
        <v>5930</v>
      </c>
      <c r="J879" s="269"/>
      <c r="K879" s="269"/>
      <c r="L879" s="266"/>
      <c r="M879" s="278"/>
      <c r="N879" s="439"/>
      <c r="O879" s="649" t="s">
        <v>4918</v>
      </c>
      <c r="P879" s="649" t="s">
        <v>180</v>
      </c>
      <c r="Q879" s="508">
        <v>300</v>
      </c>
      <c r="R879" s="415">
        <v>500000</v>
      </c>
      <c r="S879" s="508">
        <v>300000</v>
      </c>
      <c r="T879" s="280">
        <f t="shared" si="211"/>
        <v>800000</v>
      </c>
      <c r="U879" s="266"/>
      <c r="V879" s="266"/>
      <c r="W879" s="266"/>
      <c r="X879" s="266"/>
      <c r="Y879" s="271">
        <v>0.4</v>
      </c>
      <c r="Z879" s="605">
        <f t="shared" si="205"/>
        <v>320000</v>
      </c>
      <c r="AA879" s="266"/>
      <c r="AB879" s="605">
        <f t="shared" si="206"/>
        <v>520000</v>
      </c>
      <c r="AC879" s="607">
        <f t="shared" si="187"/>
        <v>200000</v>
      </c>
      <c r="AD879" s="266"/>
      <c r="AE879" s="266"/>
    </row>
    <row r="880" spans="1:31" ht="47.25" x14ac:dyDescent="0.25">
      <c r="A880" s="74">
        <v>877</v>
      </c>
      <c r="B880" s="22">
        <v>44061</v>
      </c>
      <c r="C880" s="148" t="s">
        <v>5932</v>
      </c>
      <c r="D880" s="148"/>
      <c r="E880" s="148" t="s">
        <v>3479</v>
      </c>
      <c r="F880" s="101" t="s">
        <v>5938</v>
      </c>
      <c r="G880" s="10"/>
      <c r="H880" s="101" t="s">
        <v>168</v>
      </c>
      <c r="I880" s="148" t="s">
        <v>5933</v>
      </c>
      <c r="J880" s="10"/>
      <c r="K880" s="10"/>
      <c r="L880" s="19"/>
      <c r="M880" s="13"/>
      <c r="N880" s="249"/>
      <c r="O880" s="693" t="s">
        <v>4918</v>
      </c>
      <c r="P880" s="693" t="s">
        <v>180</v>
      </c>
      <c r="Q880" s="365">
        <v>300</v>
      </c>
      <c r="R880" s="364">
        <v>500000</v>
      </c>
      <c r="S880" s="365">
        <v>300000</v>
      </c>
      <c r="T880" s="219">
        <f t="shared" ref="T880" si="212">R880+S880</f>
        <v>800000</v>
      </c>
      <c r="U880" s="19"/>
      <c r="V880" s="19"/>
      <c r="W880" s="19"/>
      <c r="X880" s="19"/>
      <c r="Y880" s="19"/>
      <c r="Z880" s="376">
        <f t="shared" si="205"/>
        <v>0</v>
      </c>
      <c r="AA880" s="19"/>
      <c r="AB880" s="376">
        <f t="shared" si="206"/>
        <v>520000</v>
      </c>
      <c r="AC880" s="38">
        <f t="shared" si="187"/>
        <v>520000</v>
      </c>
      <c r="AD880" s="19" t="s">
        <v>5934</v>
      </c>
      <c r="AE880" s="19"/>
    </row>
    <row r="881" spans="1:31" ht="63" x14ac:dyDescent="0.25">
      <c r="A881" s="311">
        <v>878</v>
      </c>
      <c r="B881" s="22">
        <v>44061</v>
      </c>
      <c r="C881" s="148" t="s">
        <v>5935</v>
      </c>
      <c r="D881" s="148"/>
      <c r="E881" s="148" t="s">
        <v>5768</v>
      </c>
      <c r="F881" s="101" t="s">
        <v>5937</v>
      </c>
      <c r="G881" s="10"/>
      <c r="H881" s="101" t="s">
        <v>168</v>
      </c>
      <c r="I881" s="148" t="s">
        <v>5936</v>
      </c>
      <c r="J881" s="10"/>
      <c r="K881" s="10"/>
      <c r="L881" s="19"/>
      <c r="M881" s="13"/>
      <c r="N881" s="249"/>
      <c r="O881" s="693" t="s">
        <v>4918</v>
      </c>
      <c r="P881" s="693" t="s">
        <v>180</v>
      </c>
      <c r="Q881" s="365">
        <v>300</v>
      </c>
      <c r="R881" s="364">
        <v>500000</v>
      </c>
      <c r="S881" s="365">
        <v>300000</v>
      </c>
      <c r="T881" s="219">
        <f t="shared" ref="T881" si="213">R881+S881</f>
        <v>800000</v>
      </c>
      <c r="U881" s="19"/>
      <c r="V881" s="19"/>
      <c r="W881" s="19"/>
      <c r="X881" s="19"/>
      <c r="Y881" s="19"/>
      <c r="Z881" s="376">
        <f t="shared" si="205"/>
        <v>0</v>
      </c>
      <c r="AA881" s="19"/>
      <c r="AB881" s="376">
        <f t="shared" si="206"/>
        <v>520000</v>
      </c>
      <c r="AC881" s="38">
        <f t="shared" si="187"/>
        <v>520000</v>
      </c>
      <c r="AD881" s="19" t="s">
        <v>5939</v>
      </c>
      <c r="AE881" s="19"/>
    </row>
    <row r="882" spans="1:31" ht="47.25" x14ac:dyDescent="0.25">
      <c r="A882" s="113">
        <v>879</v>
      </c>
      <c r="B882" s="22">
        <v>44061</v>
      </c>
      <c r="C882" s="148" t="s">
        <v>5940</v>
      </c>
      <c r="D882" s="148" t="s">
        <v>5941</v>
      </c>
      <c r="E882" s="148" t="s">
        <v>3646</v>
      </c>
      <c r="F882" s="101" t="s">
        <v>5942</v>
      </c>
      <c r="G882" s="10"/>
      <c r="H882" s="101" t="s">
        <v>322</v>
      </c>
      <c r="I882" s="148" t="s">
        <v>5943</v>
      </c>
      <c r="J882" s="10" t="s">
        <v>5944</v>
      </c>
      <c r="K882" s="10"/>
      <c r="L882" s="19"/>
      <c r="M882" s="13"/>
      <c r="N882" s="249"/>
      <c r="O882" s="693" t="s">
        <v>4918</v>
      </c>
      <c r="P882" s="693" t="s">
        <v>180</v>
      </c>
      <c r="Q882" s="365">
        <v>300</v>
      </c>
      <c r="R882" s="364">
        <v>500000</v>
      </c>
      <c r="S882" s="365">
        <v>300000</v>
      </c>
      <c r="T882" s="219">
        <f t="shared" ref="T882:T883" si="214">R882+S882</f>
        <v>800000</v>
      </c>
      <c r="U882" s="19"/>
      <c r="V882" s="19"/>
      <c r="W882" s="19"/>
      <c r="X882" s="19"/>
      <c r="Y882" s="165">
        <v>0.3</v>
      </c>
      <c r="Z882" s="376">
        <f t="shared" si="205"/>
        <v>240000</v>
      </c>
      <c r="AA882" s="19"/>
      <c r="AB882" s="376">
        <f t="shared" si="206"/>
        <v>520000</v>
      </c>
      <c r="AC882" s="38">
        <f t="shared" si="187"/>
        <v>280000</v>
      </c>
      <c r="AD882" s="19" t="s">
        <v>5945</v>
      </c>
      <c r="AE882" s="19"/>
    </row>
    <row r="883" spans="1:31" ht="47.25" x14ac:dyDescent="0.25">
      <c r="A883" s="74">
        <v>880</v>
      </c>
      <c r="B883" s="22">
        <v>44061</v>
      </c>
      <c r="C883" s="148" t="s">
        <v>5946</v>
      </c>
      <c r="D883" s="148"/>
      <c r="E883" s="148" t="s">
        <v>2404</v>
      </c>
      <c r="F883" s="101" t="s">
        <v>5948</v>
      </c>
      <c r="G883" s="10"/>
      <c r="H883" s="101" t="s">
        <v>1177</v>
      </c>
      <c r="I883" s="148" t="s">
        <v>5947</v>
      </c>
      <c r="J883" s="10"/>
      <c r="K883" s="10"/>
      <c r="L883" s="19"/>
      <c r="M883" s="13"/>
      <c r="N883" s="249"/>
      <c r="O883" s="697" t="s">
        <v>4918</v>
      </c>
      <c r="P883" s="697" t="s">
        <v>94</v>
      </c>
      <c r="Q883" s="365">
        <v>300</v>
      </c>
      <c r="R883" s="364"/>
      <c r="S883" s="365">
        <v>300000</v>
      </c>
      <c r="T883" s="579">
        <f t="shared" si="214"/>
        <v>300000</v>
      </c>
      <c r="U883" s="359"/>
      <c r="V883" s="359"/>
      <c r="W883" s="359"/>
      <c r="X883" s="359"/>
      <c r="Y883" s="363">
        <v>0.4</v>
      </c>
      <c r="Z883" s="376">
        <f t="shared" si="205"/>
        <v>120000</v>
      </c>
      <c r="AA883" s="19"/>
      <c r="AB883" s="376">
        <f t="shared" si="206"/>
        <v>195000</v>
      </c>
      <c r="AC883" s="38">
        <f t="shared" si="187"/>
        <v>75000</v>
      </c>
      <c r="AD883" s="19" t="s">
        <v>5949</v>
      </c>
      <c r="AE883" s="19"/>
    </row>
    <row r="884" spans="1:31" ht="63" x14ac:dyDescent="0.25">
      <c r="A884" s="311">
        <v>881</v>
      </c>
      <c r="B884" s="22">
        <v>44061</v>
      </c>
      <c r="C884" s="148" t="s">
        <v>5950</v>
      </c>
      <c r="D884" s="148"/>
      <c r="E884" s="148" t="s">
        <v>2404</v>
      </c>
      <c r="F884" s="101" t="s">
        <v>5952</v>
      </c>
      <c r="G884" s="10"/>
      <c r="H884" s="101" t="s">
        <v>1177</v>
      </c>
      <c r="I884" s="148" t="s">
        <v>5951</v>
      </c>
      <c r="J884" s="10"/>
      <c r="K884" s="10"/>
      <c r="L884" s="19"/>
      <c r="M884" s="13"/>
      <c r="N884" s="249"/>
      <c r="O884" s="693" t="s">
        <v>5953</v>
      </c>
      <c r="P884" s="693" t="s">
        <v>180</v>
      </c>
      <c r="Q884" s="365">
        <v>10000</v>
      </c>
      <c r="R884" s="364">
        <v>500000</v>
      </c>
      <c r="S884" s="365">
        <v>3500000</v>
      </c>
      <c r="T884" s="219">
        <f t="shared" ref="T884:T887" si="215">R884+S884</f>
        <v>4000000</v>
      </c>
      <c r="U884" s="19"/>
      <c r="V884" s="19"/>
      <c r="W884" s="19"/>
      <c r="X884" s="19"/>
      <c r="Y884" s="165">
        <v>0.2</v>
      </c>
      <c r="Z884" s="376">
        <f t="shared" si="205"/>
        <v>800000</v>
      </c>
      <c r="AA884" s="19"/>
      <c r="AB884" s="376">
        <f t="shared" si="206"/>
        <v>2600000</v>
      </c>
      <c r="AC884" s="38">
        <f t="shared" si="187"/>
        <v>1800000</v>
      </c>
      <c r="AD884" s="19" t="s">
        <v>5954</v>
      </c>
      <c r="AE884" s="19"/>
    </row>
    <row r="885" spans="1:31" s="272" customFormat="1" ht="47.25" x14ac:dyDescent="0.25">
      <c r="A885" s="113">
        <v>882</v>
      </c>
      <c r="B885" s="373">
        <v>44061</v>
      </c>
      <c r="C885" s="358" t="s">
        <v>5955</v>
      </c>
      <c r="D885" s="358"/>
      <c r="E885" s="358" t="s">
        <v>3646</v>
      </c>
      <c r="F885" s="335" t="s">
        <v>5957</v>
      </c>
      <c r="G885" s="269"/>
      <c r="H885" s="335" t="s">
        <v>1800</v>
      </c>
      <c r="I885" s="358" t="s">
        <v>5956</v>
      </c>
      <c r="J885" s="269" t="s">
        <v>5958</v>
      </c>
      <c r="K885" s="380" t="s">
        <v>5959</v>
      </c>
      <c r="L885" s="266"/>
      <c r="M885" s="278"/>
      <c r="N885" s="439"/>
      <c r="O885" s="649" t="s">
        <v>5860</v>
      </c>
      <c r="P885" s="649" t="s">
        <v>180</v>
      </c>
      <c r="Q885" s="508">
        <v>0</v>
      </c>
      <c r="R885" s="415">
        <v>500000</v>
      </c>
      <c r="S885" s="508">
        <v>0</v>
      </c>
      <c r="T885" s="280">
        <f t="shared" si="215"/>
        <v>500000</v>
      </c>
      <c r="U885" s="266"/>
      <c r="V885" s="266"/>
      <c r="W885" s="266"/>
      <c r="X885" s="266"/>
      <c r="Y885" s="266"/>
      <c r="Z885" s="605">
        <f t="shared" si="205"/>
        <v>0</v>
      </c>
      <c r="AA885" s="266"/>
      <c r="AB885" s="605">
        <f t="shared" si="206"/>
        <v>325000</v>
      </c>
      <c r="AC885" s="607">
        <f t="shared" si="187"/>
        <v>325000</v>
      </c>
      <c r="AD885" s="266"/>
      <c r="AE885" s="266"/>
    </row>
    <row r="886" spans="1:31" s="272" customFormat="1" ht="31.5" x14ac:dyDescent="0.25">
      <c r="A886" s="74">
        <v>883</v>
      </c>
      <c r="B886" s="373">
        <v>44061</v>
      </c>
      <c r="C886" s="358" t="s">
        <v>5960</v>
      </c>
      <c r="D886" s="358"/>
      <c r="E886" s="358" t="s">
        <v>3646</v>
      </c>
      <c r="F886" s="335" t="s">
        <v>5962</v>
      </c>
      <c r="G886" s="269"/>
      <c r="H886" s="335" t="s">
        <v>888</v>
      </c>
      <c r="I886" s="358" t="s">
        <v>5961</v>
      </c>
      <c r="J886" s="269">
        <v>904111773</v>
      </c>
      <c r="K886" s="269"/>
      <c r="L886" s="266"/>
      <c r="M886" s="278"/>
      <c r="N886" s="439"/>
      <c r="O886" s="649" t="s">
        <v>5963</v>
      </c>
      <c r="P886" s="649" t="s">
        <v>180</v>
      </c>
      <c r="Q886" s="508">
        <v>1000</v>
      </c>
      <c r="R886" s="415">
        <v>500000</v>
      </c>
      <c r="S886" s="508">
        <v>675000</v>
      </c>
      <c r="T886" s="280">
        <f t="shared" si="215"/>
        <v>1175000</v>
      </c>
      <c r="U886" s="266"/>
      <c r="V886" s="266"/>
      <c r="W886" s="266"/>
      <c r="X886" s="266"/>
      <c r="Y886" s="266"/>
      <c r="Z886" s="605">
        <f t="shared" si="205"/>
        <v>0</v>
      </c>
      <c r="AA886" s="266"/>
      <c r="AB886" s="605">
        <f t="shared" si="206"/>
        <v>763750</v>
      </c>
      <c r="AC886" s="607">
        <f t="shared" si="187"/>
        <v>763750</v>
      </c>
      <c r="AD886" s="266"/>
      <c r="AE886" s="266"/>
    </row>
    <row r="887" spans="1:31" s="272" customFormat="1" ht="47.25" x14ac:dyDescent="0.25">
      <c r="A887" s="311">
        <v>884</v>
      </c>
      <c r="B887" s="373">
        <v>44061</v>
      </c>
      <c r="C887" s="358" t="s">
        <v>5964</v>
      </c>
      <c r="D887" s="358"/>
      <c r="E887" s="358" t="s">
        <v>3646</v>
      </c>
      <c r="F887" s="335" t="s">
        <v>5966</v>
      </c>
      <c r="G887" s="269"/>
      <c r="H887" s="335" t="s">
        <v>168</v>
      </c>
      <c r="I887" s="358" t="s">
        <v>5965</v>
      </c>
      <c r="J887" s="269" t="s">
        <v>5967</v>
      </c>
      <c r="K887" s="269"/>
      <c r="L887" s="266"/>
      <c r="M887" s="278"/>
      <c r="N887" s="439"/>
      <c r="O887" s="649" t="s">
        <v>4918</v>
      </c>
      <c r="P887" s="649" t="s">
        <v>180</v>
      </c>
      <c r="Q887" s="508">
        <v>300</v>
      </c>
      <c r="R887" s="415">
        <v>500000</v>
      </c>
      <c r="S887" s="508">
        <v>300000</v>
      </c>
      <c r="T887" s="280">
        <f t="shared" si="215"/>
        <v>800000</v>
      </c>
      <c r="U887" s="266"/>
      <c r="V887" s="266"/>
      <c r="W887" s="266"/>
      <c r="X887" s="266"/>
      <c r="Y887" s="266"/>
      <c r="Z887" s="605">
        <f t="shared" si="205"/>
        <v>0</v>
      </c>
      <c r="AA887" s="266"/>
      <c r="AB887" s="605">
        <f t="shared" si="206"/>
        <v>520000</v>
      </c>
      <c r="AC887" s="607">
        <f t="shared" si="187"/>
        <v>520000</v>
      </c>
      <c r="AD887" s="266"/>
      <c r="AE887" s="266"/>
    </row>
    <row r="888" spans="1:31" s="272" customFormat="1" ht="63" x14ac:dyDescent="0.25">
      <c r="A888" s="113">
        <v>885</v>
      </c>
      <c r="B888" s="373">
        <v>44061</v>
      </c>
      <c r="C888" s="358" t="s">
        <v>5969</v>
      </c>
      <c r="D888" s="358"/>
      <c r="E888" s="358" t="s">
        <v>2404</v>
      </c>
      <c r="F888" s="335" t="s">
        <v>5971</v>
      </c>
      <c r="G888" s="269"/>
      <c r="H888" s="335" t="s">
        <v>246</v>
      </c>
      <c r="I888" s="358" t="s">
        <v>5970</v>
      </c>
      <c r="J888" s="269" t="s">
        <v>5968</v>
      </c>
      <c r="K888" s="269"/>
      <c r="L888" s="266"/>
      <c r="M888" s="278"/>
      <c r="N888" s="439"/>
      <c r="O888" s="649" t="s">
        <v>4918</v>
      </c>
      <c r="P888" s="649" t="s">
        <v>180</v>
      </c>
      <c r="Q888" s="508">
        <v>300</v>
      </c>
      <c r="R888" s="415">
        <v>500000</v>
      </c>
      <c r="S888" s="508">
        <v>300000</v>
      </c>
      <c r="T888" s="280">
        <f t="shared" ref="T888:T889" si="216">R888+S888</f>
        <v>800000</v>
      </c>
      <c r="U888" s="266"/>
      <c r="V888" s="266"/>
      <c r="W888" s="266"/>
      <c r="X888" s="266"/>
      <c r="Y888" s="271">
        <v>0.4</v>
      </c>
      <c r="Z888" s="605">
        <f t="shared" si="205"/>
        <v>320000</v>
      </c>
      <c r="AA888" s="266"/>
      <c r="AB888" s="605">
        <f t="shared" si="206"/>
        <v>520000</v>
      </c>
      <c r="AC888" s="607">
        <f t="shared" ref="AC888:AC951" si="217">AB888-Z888</f>
        <v>200000</v>
      </c>
      <c r="AD888" s="266"/>
      <c r="AE888" s="266"/>
    </row>
    <row r="889" spans="1:31" s="272" customFormat="1" ht="47.25" x14ac:dyDescent="0.25">
      <c r="A889" s="74">
        <v>886</v>
      </c>
      <c r="B889" s="373">
        <v>44061</v>
      </c>
      <c r="C889" s="358" t="s">
        <v>5972</v>
      </c>
      <c r="D889" s="358"/>
      <c r="E889" s="358" t="s">
        <v>3479</v>
      </c>
      <c r="F889" s="335" t="s">
        <v>5974</v>
      </c>
      <c r="G889" s="269"/>
      <c r="H889" s="335" t="s">
        <v>168</v>
      </c>
      <c r="I889" s="358" t="s">
        <v>5973</v>
      </c>
      <c r="J889" s="269"/>
      <c r="K889" s="269"/>
      <c r="L889" s="266"/>
      <c r="M889" s="278"/>
      <c r="N889" s="439"/>
      <c r="O889" s="649" t="s">
        <v>5963</v>
      </c>
      <c r="P889" s="649" t="s">
        <v>180</v>
      </c>
      <c r="Q889" s="508">
        <v>1000</v>
      </c>
      <c r="R889" s="415">
        <v>500000</v>
      </c>
      <c r="S889" s="508">
        <v>675000</v>
      </c>
      <c r="T889" s="280">
        <f t="shared" si="216"/>
        <v>1175000</v>
      </c>
      <c r="U889" s="266"/>
      <c r="V889" s="266"/>
      <c r="W889" s="266"/>
      <c r="X889" s="266"/>
      <c r="Y889" s="271">
        <v>0.35</v>
      </c>
      <c r="Z889" s="605">
        <f t="shared" si="205"/>
        <v>411250</v>
      </c>
      <c r="AA889" s="266"/>
      <c r="AB889" s="605">
        <f t="shared" si="206"/>
        <v>763750</v>
      </c>
      <c r="AC889" s="607">
        <f t="shared" si="217"/>
        <v>352500</v>
      </c>
      <c r="AD889" s="266"/>
      <c r="AE889" s="266"/>
    </row>
    <row r="890" spans="1:31" s="272" customFormat="1" ht="47.25" x14ac:dyDescent="0.25">
      <c r="A890" s="311">
        <v>887</v>
      </c>
      <c r="B890" s="373">
        <v>44061</v>
      </c>
      <c r="C890" s="358" t="s">
        <v>5975</v>
      </c>
      <c r="D890" s="358"/>
      <c r="E890" s="358" t="s">
        <v>3479</v>
      </c>
      <c r="F890" s="335" t="s">
        <v>5976</v>
      </c>
      <c r="G890" s="269"/>
      <c r="H890" s="335" t="s">
        <v>168</v>
      </c>
      <c r="I890" s="358" t="s">
        <v>5977</v>
      </c>
      <c r="J890" s="269"/>
      <c r="K890" s="269"/>
      <c r="L890" s="266"/>
      <c r="M890" s="278"/>
      <c r="N890" s="439"/>
      <c r="O890" s="649" t="s">
        <v>5963</v>
      </c>
      <c r="P890" s="649" t="s">
        <v>180</v>
      </c>
      <c r="Q890" s="508">
        <v>1000</v>
      </c>
      <c r="R890" s="415">
        <v>500000</v>
      </c>
      <c r="S890" s="508">
        <v>675000</v>
      </c>
      <c r="T890" s="280">
        <f t="shared" ref="T890" si="218">R890+S890</f>
        <v>1175000</v>
      </c>
      <c r="U890" s="266"/>
      <c r="V890" s="266"/>
      <c r="W890" s="266"/>
      <c r="X890" s="266"/>
      <c r="Y890" s="271">
        <v>0.35</v>
      </c>
      <c r="Z890" s="605">
        <f t="shared" si="205"/>
        <v>411250</v>
      </c>
      <c r="AA890" s="266"/>
      <c r="AB890" s="605">
        <f t="shared" si="206"/>
        <v>763750</v>
      </c>
      <c r="AC890" s="607">
        <f t="shared" si="217"/>
        <v>352500</v>
      </c>
      <c r="AD890" s="266"/>
      <c r="AE890" s="266"/>
    </row>
    <row r="891" spans="1:31" s="272" customFormat="1" ht="47.25" x14ac:dyDescent="0.25">
      <c r="A891" s="113">
        <v>888</v>
      </c>
      <c r="B891" s="373">
        <v>44061</v>
      </c>
      <c r="C891" s="358" t="s">
        <v>5978</v>
      </c>
      <c r="D891" s="358"/>
      <c r="E891" s="358" t="s">
        <v>3479</v>
      </c>
      <c r="F891" s="335" t="s">
        <v>5980</v>
      </c>
      <c r="G891" s="269"/>
      <c r="H891" s="335" t="s">
        <v>168</v>
      </c>
      <c r="I891" s="358" t="s">
        <v>5979</v>
      </c>
      <c r="J891" s="269"/>
      <c r="K891" s="269"/>
      <c r="L891" s="266"/>
      <c r="M891" s="278"/>
      <c r="N891" s="439"/>
      <c r="O891" s="649" t="s">
        <v>5963</v>
      </c>
      <c r="P891" s="649" t="s">
        <v>180</v>
      </c>
      <c r="Q891" s="508">
        <v>1000</v>
      </c>
      <c r="R891" s="415">
        <v>500000</v>
      </c>
      <c r="S891" s="508">
        <v>675000</v>
      </c>
      <c r="T891" s="280">
        <f t="shared" ref="T891:T892" si="219">R891+S891</f>
        <v>1175000</v>
      </c>
      <c r="U891" s="266"/>
      <c r="V891" s="266"/>
      <c r="W891" s="266"/>
      <c r="X891" s="266"/>
      <c r="Y891" s="271">
        <v>0.35</v>
      </c>
      <c r="Z891" s="605">
        <f t="shared" si="205"/>
        <v>411250</v>
      </c>
      <c r="AA891" s="266"/>
      <c r="AB891" s="605">
        <f t="shared" si="206"/>
        <v>763750</v>
      </c>
      <c r="AC891" s="607">
        <f t="shared" si="217"/>
        <v>352500</v>
      </c>
      <c r="AD891" s="266"/>
      <c r="AE891" s="266"/>
    </row>
    <row r="892" spans="1:31" s="272" customFormat="1" ht="47.25" x14ac:dyDescent="0.25">
      <c r="A892" s="74">
        <v>889</v>
      </c>
      <c r="B892" s="373">
        <v>44061</v>
      </c>
      <c r="C892" s="358" t="s">
        <v>5981</v>
      </c>
      <c r="D892" s="358"/>
      <c r="E892" s="358" t="s">
        <v>309</v>
      </c>
      <c r="F892" s="335" t="s">
        <v>5982</v>
      </c>
      <c r="G892" s="269"/>
      <c r="H892" s="335" t="s">
        <v>168</v>
      </c>
      <c r="I892" s="358" t="s">
        <v>5983</v>
      </c>
      <c r="J892" s="269"/>
      <c r="K892" s="269"/>
      <c r="L892" s="266"/>
      <c r="M892" s="278"/>
      <c r="N892" s="439"/>
      <c r="O892" s="649" t="s">
        <v>4918</v>
      </c>
      <c r="P892" s="649" t="s">
        <v>180</v>
      </c>
      <c r="Q892" s="508">
        <v>300</v>
      </c>
      <c r="R892" s="415">
        <v>500000</v>
      </c>
      <c r="S892" s="508">
        <v>300000</v>
      </c>
      <c r="T892" s="280">
        <f t="shared" si="219"/>
        <v>800000</v>
      </c>
      <c r="U892" s="266"/>
      <c r="V892" s="266"/>
      <c r="W892" s="266"/>
      <c r="X892" s="266"/>
      <c r="Y892" s="266"/>
      <c r="Z892" s="605">
        <f t="shared" si="205"/>
        <v>0</v>
      </c>
      <c r="AA892" s="266"/>
      <c r="AB892" s="605">
        <f t="shared" si="206"/>
        <v>520000</v>
      </c>
      <c r="AC892" s="607">
        <f t="shared" si="217"/>
        <v>520000</v>
      </c>
      <c r="AD892" s="266"/>
      <c r="AE892" s="266"/>
    </row>
    <row r="893" spans="1:31" s="272" customFormat="1" ht="47.25" x14ac:dyDescent="0.25">
      <c r="A893" s="311">
        <v>890</v>
      </c>
      <c r="B893" s="373">
        <v>44061</v>
      </c>
      <c r="C893" s="358" t="s">
        <v>5984</v>
      </c>
      <c r="D893" s="358"/>
      <c r="E893" s="358" t="s">
        <v>2404</v>
      </c>
      <c r="F893" s="335" t="s">
        <v>5986</v>
      </c>
      <c r="G893" s="269"/>
      <c r="H893" s="335" t="s">
        <v>1177</v>
      </c>
      <c r="I893" s="358" t="s">
        <v>5985</v>
      </c>
      <c r="J893" s="269" t="s">
        <v>5987</v>
      </c>
      <c r="K893" s="269" t="s">
        <v>5988</v>
      </c>
      <c r="L893" s="266"/>
      <c r="M893" s="278"/>
      <c r="N893" s="439"/>
      <c r="O893" s="649" t="s">
        <v>4918</v>
      </c>
      <c r="P893" s="649" t="s">
        <v>180</v>
      </c>
      <c r="Q893" s="508">
        <v>300</v>
      </c>
      <c r="R893" s="415">
        <v>500000</v>
      </c>
      <c r="S893" s="508">
        <v>300000</v>
      </c>
      <c r="T893" s="280">
        <f t="shared" ref="T893" si="220">R893+S893</f>
        <v>800000</v>
      </c>
      <c r="U893" s="266"/>
      <c r="V893" s="266"/>
      <c r="W893" s="266"/>
      <c r="X893" s="266"/>
      <c r="Y893" s="271">
        <v>0.4</v>
      </c>
      <c r="Z893" s="605">
        <f t="shared" si="205"/>
        <v>320000</v>
      </c>
      <c r="AA893" s="266"/>
      <c r="AB893" s="605">
        <f t="shared" si="206"/>
        <v>520000</v>
      </c>
      <c r="AC893" s="607">
        <f t="shared" si="217"/>
        <v>200000</v>
      </c>
      <c r="AD893" s="266"/>
      <c r="AE893" s="266"/>
    </row>
    <row r="894" spans="1:31" s="272" customFormat="1" ht="47.25" x14ac:dyDescent="0.25">
      <c r="A894" s="113">
        <v>891</v>
      </c>
      <c r="B894" s="373">
        <v>44061</v>
      </c>
      <c r="C894" s="358" t="s">
        <v>5989</v>
      </c>
      <c r="D894" s="358"/>
      <c r="E894" s="358" t="s">
        <v>2404</v>
      </c>
      <c r="F894" s="335" t="s">
        <v>5990</v>
      </c>
      <c r="G894" s="269"/>
      <c r="H894" s="335" t="s">
        <v>1243</v>
      </c>
      <c r="I894" s="358" t="s">
        <v>5991</v>
      </c>
      <c r="J894" s="269"/>
      <c r="K894" s="269"/>
      <c r="L894" s="266"/>
      <c r="M894" s="278"/>
      <c r="N894" s="439"/>
      <c r="O894" s="649" t="s">
        <v>4918</v>
      </c>
      <c r="P894" s="649" t="s">
        <v>180</v>
      </c>
      <c r="Q894" s="508">
        <v>300</v>
      </c>
      <c r="R894" s="415">
        <v>500000</v>
      </c>
      <c r="S894" s="508">
        <v>300000</v>
      </c>
      <c r="T894" s="280">
        <f t="shared" ref="T894" si="221">R894+S894</f>
        <v>800000</v>
      </c>
      <c r="U894" s="266"/>
      <c r="V894" s="266"/>
      <c r="W894" s="266"/>
      <c r="X894" s="266"/>
      <c r="Y894" s="271">
        <v>0.4</v>
      </c>
      <c r="Z894" s="605">
        <f t="shared" si="205"/>
        <v>320000</v>
      </c>
      <c r="AA894" s="266"/>
      <c r="AB894" s="605">
        <f t="shared" si="206"/>
        <v>520000</v>
      </c>
      <c r="AC894" s="607">
        <f t="shared" si="217"/>
        <v>200000</v>
      </c>
      <c r="AD894" s="266"/>
      <c r="AE894" s="266"/>
    </row>
    <row r="895" spans="1:31" s="272" customFormat="1" ht="47.25" x14ac:dyDescent="0.25">
      <c r="A895" s="74">
        <v>892</v>
      </c>
      <c r="B895" s="373">
        <v>44061</v>
      </c>
      <c r="C895" s="358" t="s">
        <v>5992</v>
      </c>
      <c r="D895" s="358"/>
      <c r="E895" s="358" t="s">
        <v>309</v>
      </c>
      <c r="F895" s="335" t="s">
        <v>5994</v>
      </c>
      <c r="G895" s="269"/>
      <c r="H895" s="335" t="s">
        <v>273</v>
      </c>
      <c r="I895" s="358" t="s">
        <v>5993</v>
      </c>
      <c r="J895" s="269"/>
      <c r="K895" s="269"/>
      <c r="L895" s="266"/>
      <c r="M895" s="278"/>
      <c r="N895" s="439"/>
      <c r="O895" s="649" t="s">
        <v>4918</v>
      </c>
      <c r="P895" s="649" t="s">
        <v>180</v>
      </c>
      <c r="Q895" s="508">
        <v>300</v>
      </c>
      <c r="R895" s="415">
        <v>500000</v>
      </c>
      <c r="S895" s="508">
        <v>300000</v>
      </c>
      <c r="T895" s="280">
        <f t="shared" ref="T895" si="222">R895+S895</f>
        <v>800000</v>
      </c>
      <c r="U895" s="266"/>
      <c r="V895" s="266"/>
      <c r="W895" s="266"/>
      <c r="X895" s="266"/>
      <c r="Y895" s="271">
        <v>0.4</v>
      </c>
      <c r="Z895" s="605">
        <f t="shared" si="205"/>
        <v>320000</v>
      </c>
      <c r="AA895" s="266"/>
      <c r="AB895" s="605">
        <f t="shared" si="206"/>
        <v>520000</v>
      </c>
      <c r="AC895" s="607">
        <f t="shared" si="217"/>
        <v>200000</v>
      </c>
      <c r="AD895" s="266"/>
      <c r="AE895" s="266"/>
    </row>
    <row r="896" spans="1:31" s="272" customFormat="1" ht="47.25" x14ac:dyDescent="0.25">
      <c r="A896" s="311">
        <v>893</v>
      </c>
      <c r="B896" s="373">
        <v>44061</v>
      </c>
      <c r="C896" s="358" t="s">
        <v>5996</v>
      </c>
      <c r="D896" s="358"/>
      <c r="E896" s="358" t="s">
        <v>309</v>
      </c>
      <c r="F896" s="335" t="s">
        <v>5995</v>
      </c>
      <c r="G896" s="269"/>
      <c r="H896" s="335" t="s">
        <v>1639</v>
      </c>
      <c r="I896" s="358" t="s">
        <v>5997</v>
      </c>
      <c r="J896" s="269"/>
      <c r="K896" s="269"/>
      <c r="L896" s="266"/>
      <c r="M896" s="278"/>
      <c r="N896" s="439"/>
      <c r="O896" s="649" t="s">
        <v>4918</v>
      </c>
      <c r="P896" s="649" t="s">
        <v>180</v>
      </c>
      <c r="Q896" s="508">
        <v>300</v>
      </c>
      <c r="R896" s="415">
        <v>500000</v>
      </c>
      <c r="S896" s="508">
        <v>300000</v>
      </c>
      <c r="T896" s="280">
        <f t="shared" ref="T896:T897" si="223">R896+S896</f>
        <v>800000</v>
      </c>
      <c r="U896" s="266"/>
      <c r="V896" s="266"/>
      <c r="W896" s="266"/>
      <c r="X896" s="266"/>
      <c r="Y896" s="271">
        <v>0.4</v>
      </c>
      <c r="Z896" s="605">
        <f t="shared" si="205"/>
        <v>320000</v>
      </c>
      <c r="AA896" s="266"/>
      <c r="AB896" s="605">
        <f t="shared" si="206"/>
        <v>520000</v>
      </c>
      <c r="AC896" s="607">
        <f t="shared" si="217"/>
        <v>200000</v>
      </c>
      <c r="AD896" s="266"/>
      <c r="AE896" s="266"/>
    </row>
    <row r="897" spans="1:31" s="272" customFormat="1" ht="47.25" x14ac:dyDescent="0.25">
      <c r="A897" s="113">
        <v>894</v>
      </c>
      <c r="B897" s="373">
        <v>44061</v>
      </c>
      <c r="C897" s="358" t="s">
        <v>5998</v>
      </c>
      <c r="D897" s="358"/>
      <c r="E897" s="358" t="s">
        <v>4753</v>
      </c>
      <c r="F897" s="335" t="s">
        <v>6000</v>
      </c>
      <c r="G897" s="269"/>
      <c r="H897" s="335" t="s">
        <v>1256</v>
      </c>
      <c r="I897" s="358" t="s">
        <v>5999</v>
      </c>
      <c r="J897" s="269"/>
      <c r="K897" s="269"/>
      <c r="L897" s="266"/>
      <c r="M897" s="278"/>
      <c r="N897" s="439"/>
      <c r="O897" s="649" t="s">
        <v>5860</v>
      </c>
      <c r="P897" s="649" t="s">
        <v>180</v>
      </c>
      <c r="Q897" s="508">
        <v>0</v>
      </c>
      <c r="R897" s="415">
        <v>500000</v>
      </c>
      <c r="S897" s="508">
        <v>0</v>
      </c>
      <c r="T897" s="280">
        <f t="shared" si="223"/>
        <v>500000</v>
      </c>
      <c r="U897" s="266"/>
      <c r="V897" s="266"/>
      <c r="W897" s="266"/>
      <c r="X897" s="266"/>
      <c r="Y897" s="271">
        <v>0.4</v>
      </c>
      <c r="Z897" s="605">
        <f t="shared" si="205"/>
        <v>200000</v>
      </c>
      <c r="AA897" s="266"/>
      <c r="AB897" s="605">
        <f t="shared" si="206"/>
        <v>325000</v>
      </c>
      <c r="AC897" s="607">
        <f t="shared" si="217"/>
        <v>125000</v>
      </c>
      <c r="AD897" s="266"/>
      <c r="AE897" s="266"/>
    </row>
    <row r="898" spans="1:31" s="272" customFormat="1" ht="47.25" x14ac:dyDescent="0.25">
      <c r="A898" s="74">
        <v>895</v>
      </c>
      <c r="B898" s="373">
        <v>44062</v>
      </c>
      <c r="C898" s="358" t="s">
        <v>6002</v>
      </c>
      <c r="D898" s="358"/>
      <c r="E898" s="358" t="s">
        <v>4753</v>
      </c>
      <c r="F898" s="335" t="s">
        <v>6001</v>
      </c>
      <c r="G898" s="269"/>
      <c r="H898" s="335" t="s">
        <v>168</v>
      </c>
      <c r="I898" s="358" t="s">
        <v>6003</v>
      </c>
      <c r="J898" s="269"/>
      <c r="K898" s="269"/>
      <c r="L898" s="266"/>
      <c r="M898" s="278"/>
      <c r="N898" s="439"/>
      <c r="O898" s="649" t="s">
        <v>5594</v>
      </c>
      <c r="P898" s="649" t="s">
        <v>180</v>
      </c>
      <c r="Q898" s="508">
        <v>500</v>
      </c>
      <c r="R898" s="415">
        <v>500000</v>
      </c>
      <c r="S898" s="508">
        <v>425000</v>
      </c>
      <c r="T898" s="280">
        <f t="shared" ref="T898:T899" si="224">R898+S898</f>
        <v>925000</v>
      </c>
      <c r="U898" s="266"/>
      <c r="V898" s="266"/>
      <c r="W898" s="266"/>
      <c r="X898" s="266"/>
      <c r="Y898" s="271">
        <v>0.4</v>
      </c>
      <c r="Z898" s="605">
        <f t="shared" si="205"/>
        <v>370000</v>
      </c>
      <c r="AA898" s="266"/>
      <c r="AB898" s="605">
        <f t="shared" si="206"/>
        <v>601250</v>
      </c>
      <c r="AC898" s="607">
        <f t="shared" si="217"/>
        <v>231250</v>
      </c>
      <c r="AD898" s="266" t="s">
        <v>6004</v>
      </c>
      <c r="AE898" s="266"/>
    </row>
    <row r="899" spans="1:31" ht="47.25" x14ac:dyDescent="0.25">
      <c r="A899" s="311">
        <v>896</v>
      </c>
      <c r="B899" s="22">
        <v>44062</v>
      </c>
      <c r="C899" s="148" t="s">
        <v>6005</v>
      </c>
      <c r="D899" s="148"/>
      <c r="E899" s="148" t="s">
        <v>3646</v>
      </c>
      <c r="F899" s="101" t="s">
        <v>6007</v>
      </c>
      <c r="G899" s="10"/>
      <c r="H899" s="101" t="s">
        <v>1639</v>
      </c>
      <c r="I899" s="148" t="s">
        <v>6006</v>
      </c>
      <c r="J899" s="10" t="s">
        <v>6008</v>
      </c>
      <c r="K899" s="10" t="s">
        <v>6009</v>
      </c>
      <c r="L899" s="19"/>
      <c r="M899" s="13"/>
      <c r="N899" s="249"/>
      <c r="O899" s="693" t="s">
        <v>4918</v>
      </c>
      <c r="P899" s="693" t="s">
        <v>180</v>
      </c>
      <c r="Q899" s="365">
        <v>300</v>
      </c>
      <c r="R899" s="364">
        <v>500000</v>
      </c>
      <c r="S899" s="365">
        <v>300000</v>
      </c>
      <c r="T899" s="219">
        <f t="shared" si="224"/>
        <v>800000</v>
      </c>
      <c r="U899" s="19"/>
      <c r="V899" s="19"/>
      <c r="W899" s="19"/>
      <c r="X899" s="19"/>
      <c r="Y899" s="165">
        <v>0.4</v>
      </c>
      <c r="Z899" s="376">
        <f t="shared" si="205"/>
        <v>320000</v>
      </c>
      <c r="AA899" s="19"/>
      <c r="AB899" s="376">
        <f t="shared" si="206"/>
        <v>520000</v>
      </c>
      <c r="AC899" s="38">
        <f t="shared" si="217"/>
        <v>200000</v>
      </c>
      <c r="AD899" s="19" t="s">
        <v>783</v>
      </c>
      <c r="AE899" s="19"/>
    </row>
    <row r="900" spans="1:31" s="272" customFormat="1" ht="47.25" x14ac:dyDescent="0.25">
      <c r="A900" s="113">
        <v>897</v>
      </c>
      <c r="B900" s="373">
        <v>44062</v>
      </c>
      <c r="C900" s="358" t="s">
        <v>6010</v>
      </c>
      <c r="D900" s="358"/>
      <c r="E900" s="358" t="s">
        <v>5693</v>
      </c>
      <c r="F900" s="335" t="s">
        <v>6012</v>
      </c>
      <c r="G900" s="269"/>
      <c r="H900" s="335" t="s">
        <v>168</v>
      </c>
      <c r="I900" s="358" t="s">
        <v>6011</v>
      </c>
      <c r="J900" s="269" t="s">
        <v>6013</v>
      </c>
      <c r="K900" s="380" t="s">
        <v>6014</v>
      </c>
      <c r="L900" s="266"/>
      <c r="M900" s="278"/>
      <c r="N900" s="439"/>
      <c r="O900" s="649" t="s">
        <v>5594</v>
      </c>
      <c r="P900" s="649" t="s">
        <v>180</v>
      </c>
      <c r="Q900" s="508">
        <v>500</v>
      </c>
      <c r="R900" s="415">
        <v>500000</v>
      </c>
      <c r="S900" s="508">
        <v>425000</v>
      </c>
      <c r="T900" s="280">
        <f t="shared" ref="T900" si="225">R900+S900</f>
        <v>925000</v>
      </c>
      <c r="U900" s="266"/>
      <c r="V900" s="266"/>
      <c r="W900" s="266"/>
      <c r="X900" s="266"/>
      <c r="Y900" s="271">
        <v>0.4</v>
      </c>
      <c r="Z900" s="605">
        <f t="shared" si="205"/>
        <v>370000</v>
      </c>
      <c r="AA900" s="266"/>
      <c r="AB900" s="605">
        <f t="shared" si="206"/>
        <v>601250</v>
      </c>
      <c r="AC900" s="607">
        <f t="shared" si="217"/>
        <v>231250</v>
      </c>
      <c r="AD900" s="266"/>
      <c r="AE900" s="266"/>
    </row>
    <row r="901" spans="1:31" ht="47.25" x14ac:dyDescent="0.25">
      <c r="A901" s="74">
        <v>898</v>
      </c>
      <c r="B901" s="22">
        <v>44062</v>
      </c>
      <c r="C901" s="148" t="s">
        <v>6015</v>
      </c>
      <c r="D901" s="148"/>
      <c r="E901" s="148" t="s">
        <v>3479</v>
      </c>
      <c r="F901" s="101" t="s">
        <v>6017</v>
      </c>
      <c r="G901" s="10"/>
      <c r="H901" s="101" t="s">
        <v>168</v>
      </c>
      <c r="I901" s="148" t="s">
        <v>6016</v>
      </c>
      <c r="J901" s="10"/>
      <c r="K901" s="10"/>
      <c r="L901" s="19"/>
      <c r="M901" s="13"/>
      <c r="N901" s="249"/>
      <c r="O901" s="693" t="s">
        <v>5928</v>
      </c>
      <c r="P901" s="693" t="s">
        <v>180</v>
      </c>
      <c r="Q901" s="365">
        <v>2000</v>
      </c>
      <c r="R901" s="364">
        <v>500000</v>
      </c>
      <c r="S901" s="365">
        <v>1100000</v>
      </c>
      <c r="T901" s="219">
        <f t="shared" ref="T901:T903" si="226">R901+S901</f>
        <v>1600000</v>
      </c>
      <c r="U901" s="19"/>
      <c r="V901" s="19"/>
      <c r="W901" s="19"/>
      <c r="X901" s="19"/>
      <c r="Y901" s="165">
        <v>0.4</v>
      </c>
      <c r="Z901" s="376">
        <f t="shared" si="205"/>
        <v>640000</v>
      </c>
      <c r="AA901" s="19"/>
      <c r="AB901" s="376">
        <f t="shared" si="206"/>
        <v>1040000</v>
      </c>
      <c r="AC901" s="38">
        <f t="shared" si="217"/>
        <v>400000</v>
      </c>
      <c r="AD901" s="19" t="s">
        <v>6018</v>
      </c>
      <c r="AE901" s="19"/>
    </row>
    <row r="902" spans="1:31" ht="47.25" x14ac:dyDescent="0.25">
      <c r="A902" s="311">
        <v>899</v>
      </c>
      <c r="B902" s="22">
        <v>44062</v>
      </c>
      <c r="C902" s="148" t="s">
        <v>6019</v>
      </c>
      <c r="D902" s="148"/>
      <c r="E902" s="148" t="s">
        <v>5693</v>
      </c>
      <c r="F902" s="101" t="s">
        <v>6021</v>
      </c>
      <c r="G902" s="10"/>
      <c r="H902" s="101" t="s">
        <v>168</v>
      </c>
      <c r="I902" s="148" t="s">
        <v>6020</v>
      </c>
      <c r="J902" s="37" t="s">
        <v>6023</v>
      </c>
      <c r="K902" s="310" t="s">
        <v>6022</v>
      </c>
      <c r="L902" s="19"/>
      <c r="M902" s="13"/>
      <c r="N902" s="249"/>
      <c r="O902" s="693" t="s">
        <v>4918</v>
      </c>
      <c r="P902" s="693" t="s">
        <v>180</v>
      </c>
      <c r="Q902" s="365">
        <v>300</v>
      </c>
      <c r="R902" s="364">
        <v>500000</v>
      </c>
      <c r="S902" s="365">
        <v>300000</v>
      </c>
      <c r="T902" s="219">
        <f t="shared" si="226"/>
        <v>800000</v>
      </c>
      <c r="U902" s="19"/>
      <c r="V902" s="19"/>
      <c r="W902" s="19"/>
      <c r="X902" s="19"/>
      <c r="Y902" s="165">
        <v>0.4</v>
      </c>
      <c r="Z902" s="376">
        <f t="shared" si="205"/>
        <v>320000</v>
      </c>
      <c r="AA902" s="19"/>
      <c r="AB902" s="376">
        <f t="shared" si="206"/>
        <v>520000</v>
      </c>
      <c r="AC902" s="38">
        <f t="shared" si="217"/>
        <v>200000</v>
      </c>
      <c r="AD902" s="19" t="s">
        <v>6024</v>
      </c>
      <c r="AE902" s="19"/>
    </row>
    <row r="903" spans="1:31" s="481" customFormat="1" ht="47.25" x14ac:dyDescent="0.25">
      <c r="A903" s="714">
        <v>900</v>
      </c>
      <c r="B903" s="476">
        <v>44062</v>
      </c>
      <c r="C903" s="477" t="s">
        <v>6025</v>
      </c>
      <c r="D903" s="477"/>
      <c r="E903" s="477" t="s">
        <v>2404</v>
      </c>
      <c r="F903" s="478" t="s">
        <v>6027</v>
      </c>
      <c r="G903" s="274"/>
      <c r="H903" s="478" t="s">
        <v>1177</v>
      </c>
      <c r="I903" s="477" t="s">
        <v>6026</v>
      </c>
      <c r="J903" s="274"/>
      <c r="K903" s="274" t="s">
        <v>6599</v>
      </c>
      <c r="L903" s="274"/>
      <c r="M903" s="273"/>
      <c r="N903" s="479"/>
      <c r="O903" s="649" t="s">
        <v>5860</v>
      </c>
      <c r="P903" s="649" t="s">
        <v>180</v>
      </c>
      <c r="Q903" s="508">
        <v>0</v>
      </c>
      <c r="R903" s="415">
        <v>500000</v>
      </c>
      <c r="S903" s="508">
        <v>0</v>
      </c>
      <c r="T903" s="280">
        <f t="shared" si="226"/>
        <v>500000</v>
      </c>
      <c r="U903" s="274"/>
      <c r="V903" s="274"/>
      <c r="W903" s="274"/>
      <c r="X903" s="274"/>
      <c r="Y903" s="480">
        <v>0.4</v>
      </c>
      <c r="Z903" s="605">
        <f t="shared" si="205"/>
        <v>200000</v>
      </c>
      <c r="AA903" s="274"/>
      <c r="AB903" s="605">
        <f t="shared" si="206"/>
        <v>325000</v>
      </c>
      <c r="AC903" s="605">
        <f t="shared" si="217"/>
        <v>125000</v>
      </c>
      <c r="AD903" s="274"/>
      <c r="AE903" s="274"/>
    </row>
    <row r="904" spans="1:31" s="272" customFormat="1" ht="47.25" x14ac:dyDescent="0.25">
      <c r="A904" s="74">
        <v>901</v>
      </c>
      <c r="B904" s="373">
        <v>44062</v>
      </c>
      <c r="C904" s="358" t="s">
        <v>6028</v>
      </c>
      <c r="D904" s="358"/>
      <c r="E904" s="358" t="s">
        <v>3646</v>
      </c>
      <c r="F904" s="335" t="s">
        <v>6030</v>
      </c>
      <c r="G904" s="269"/>
      <c r="H904" s="335" t="s">
        <v>168</v>
      </c>
      <c r="I904" s="358" t="s">
        <v>6029</v>
      </c>
      <c r="J904" s="269" t="s">
        <v>6031</v>
      </c>
      <c r="K904" s="269"/>
      <c r="L904" s="266"/>
      <c r="M904" s="278"/>
      <c r="N904" s="439"/>
      <c r="O904" s="649" t="s">
        <v>5860</v>
      </c>
      <c r="P904" s="649" t="s">
        <v>180</v>
      </c>
      <c r="Q904" s="508">
        <v>0</v>
      </c>
      <c r="R904" s="415">
        <v>500000</v>
      </c>
      <c r="S904" s="508">
        <v>0</v>
      </c>
      <c r="T904" s="280">
        <f t="shared" ref="T904:T906" si="227">R904+S904</f>
        <v>500000</v>
      </c>
      <c r="U904" s="266"/>
      <c r="V904" s="266"/>
      <c r="W904" s="266"/>
      <c r="X904" s="266"/>
      <c r="Y904" s="266"/>
      <c r="Z904" s="605">
        <f t="shared" si="205"/>
        <v>0</v>
      </c>
      <c r="AA904" s="266"/>
      <c r="AB904" s="605">
        <f t="shared" si="206"/>
        <v>325000</v>
      </c>
      <c r="AC904" s="607">
        <f t="shared" si="217"/>
        <v>325000</v>
      </c>
      <c r="AD904" s="266"/>
      <c r="AE904" s="266"/>
    </row>
    <row r="905" spans="1:31" ht="47.25" x14ac:dyDescent="0.25">
      <c r="A905" s="311">
        <v>902</v>
      </c>
      <c r="B905" s="22">
        <v>44062</v>
      </c>
      <c r="C905" s="148" t="s">
        <v>6032</v>
      </c>
      <c r="D905" s="148"/>
      <c r="E905" s="148" t="s">
        <v>2404</v>
      </c>
      <c r="F905" s="101" t="s">
        <v>6034</v>
      </c>
      <c r="G905" s="10"/>
      <c r="H905" s="101" t="s">
        <v>1177</v>
      </c>
      <c r="I905" s="148" t="s">
        <v>6033</v>
      </c>
      <c r="J905" s="37" t="s">
        <v>6036</v>
      </c>
      <c r="K905" s="310" t="s">
        <v>6035</v>
      </c>
      <c r="L905" s="19"/>
      <c r="M905" s="13"/>
      <c r="N905" s="249"/>
      <c r="O905" s="693" t="s">
        <v>5860</v>
      </c>
      <c r="P905" s="693" t="s">
        <v>180</v>
      </c>
      <c r="Q905" s="365">
        <v>0</v>
      </c>
      <c r="R905" s="364">
        <v>500000</v>
      </c>
      <c r="S905" s="365">
        <v>0</v>
      </c>
      <c r="T905" s="219">
        <f t="shared" si="227"/>
        <v>500000</v>
      </c>
      <c r="U905" s="19"/>
      <c r="V905" s="19"/>
      <c r="W905" s="19"/>
      <c r="X905" s="19"/>
      <c r="Y905" s="165">
        <v>0.4</v>
      </c>
      <c r="Z905" s="376">
        <f t="shared" si="205"/>
        <v>200000</v>
      </c>
      <c r="AA905" s="19"/>
      <c r="AB905" s="376">
        <f t="shared" si="206"/>
        <v>325000</v>
      </c>
      <c r="AC905" s="38">
        <f t="shared" si="217"/>
        <v>125000</v>
      </c>
      <c r="AD905" s="19" t="s">
        <v>6037</v>
      </c>
      <c r="AE905" s="19"/>
    </row>
    <row r="906" spans="1:31" s="272" customFormat="1" ht="47.25" x14ac:dyDescent="0.25">
      <c r="A906" s="113">
        <v>903</v>
      </c>
      <c r="B906" s="373">
        <v>44062</v>
      </c>
      <c r="C906" s="358" t="s">
        <v>6038</v>
      </c>
      <c r="D906" s="358" t="s">
        <v>3901</v>
      </c>
      <c r="E906" s="358" t="s">
        <v>3646</v>
      </c>
      <c r="F906" s="335" t="s">
        <v>6040</v>
      </c>
      <c r="G906" s="269"/>
      <c r="H906" s="335" t="s">
        <v>168</v>
      </c>
      <c r="I906" s="358" t="s">
        <v>6039</v>
      </c>
      <c r="J906" s="269"/>
      <c r="K906" s="269"/>
      <c r="L906" s="266"/>
      <c r="M906" s="278"/>
      <c r="N906" s="439"/>
      <c r="O906" s="649" t="s">
        <v>5594</v>
      </c>
      <c r="P906" s="649" t="s">
        <v>180</v>
      </c>
      <c r="Q906" s="508">
        <v>500</v>
      </c>
      <c r="R906" s="415">
        <v>500000</v>
      </c>
      <c r="S906" s="508">
        <v>425000</v>
      </c>
      <c r="T906" s="280">
        <f t="shared" si="227"/>
        <v>925000</v>
      </c>
      <c r="U906" s="266"/>
      <c r="V906" s="266"/>
      <c r="W906" s="266"/>
      <c r="X906" s="266"/>
      <c r="Y906" s="271">
        <v>0.4</v>
      </c>
      <c r="Z906" s="605">
        <f t="shared" si="205"/>
        <v>370000</v>
      </c>
      <c r="AA906" s="266"/>
      <c r="AB906" s="605">
        <f t="shared" si="206"/>
        <v>601250</v>
      </c>
      <c r="AC906" s="607">
        <f t="shared" si="217"/>
        <v>231250</v>
      </c>
      <c r="AD906" s="266"/>
      <c r="AE906" s="266"/>
    </row>
    <row r="907" spans="1:31" ht="47.25" x14ac:dyDescent="0.25">
      <c r="A907" s="74">
        <v>904</v>
      </c>
      <c r="B907" s="22">
        <v>44062</v>
      </c>
      <c r="C907" s="148" t="s">
        <v>6041</v>
      </c>
      <c r="D907" s="148"/>
      <c r="E907" s="148" t="s">
        <v>5768</v>
      </c>
      <c r="F907" s="101" t="s">
        <v>6043</v>
      </c>
      <c r="G907" s="10"/>
      <c r="H907" s="101" t="s">
        <v>168</v>
      </c>
      <c r="I907" s="148" t="s">
        <v>6042</v>
      </c>
      <c r="J907" s="10" t="s">
        <v>6044</v>
      </c>
      <c r="K907" s="310" t="s">
        <v>6045</v>
      </c>
      <c r="L907" s="19"/>
      <c r="M907" s="13"/>
      <c r="N907" s="249"/>
      <c r="O907" s="19" t="s">
        <v>1145</v>
      </c>
      <c r="P907" s="19"/>
      <c r="Q907" s="19"/>
      <c r="R907" s="13"/>
      <c r="S907" s="19"/>
      <c r="T907" s="19"/>
      <c r="U907" s="19"/>
      <c r="V907" s="19"/>
      <c r="W907" s="19"/>
      <c r="X907" s="19"/>
      <c r="Y907" s="19"/>
      <c r="Z907" s="376">
        <f t="shared" si="205"/>
        <v>0</v>
      </c>
      <c r="AA907" s="19"/>
      <c r="AB907" s="376">
        <f t="shared" si="206"/>
        <v>0</v>
      </c>
      <c r="AC907" s="38">
        <f t="shared" si="217"/>
        <v>0</v>
      </c>
      <c r="AD907" s="19"/>
      <c r="AE907" s="19"/>
    </row>
    <row r="908" spans="1:31" ht="47.25" x14ac:dyDescent="0.25">
      <c r="A908" s="311">
        <v>905</v>
      </c>
      <c r="B908" s="22">
        <v>44062</v>
      </c>
      <c r="C908" s="148" t="s">
        <v>6046</v>
      </c>
      <c r="D908" s="148"/>
      <c r="E908" s="148" t="s">
        <v>5768</v>
      </c>
      <c r="F908" s="101" t="s">
        <v>6048</v>
      </c>
      <c r="G908" s="10"/>
      <c r="H908" s="101" t="s">
        <v>168</v>
      </c>
      <c r="I908" s="148" t="s">
        <v>6047</v>
      </c>
      <c r="J908" s="37" t="s">
        <v>6050</v>
      </c>
      <c r="K908" s="310" t="s">
        <v>6049</v>
      </c>
      <c r="L908" s="19"/>
      <c r="M908" s="13"/>
      <c r="N908" s="249"/>
      <c r="O908" s="693" t="s">
        <v>4918</v>
      </c>
      <c r="P908" s="693" t="s">
        <v>180</v>
      </c>
      <c r="Q908" s="365">
        <v>300</v>
      </c>
      <c r="R908" s="364">
        <v>500000</v>
      </c>
      <c r="S908" s="365">
        <v>300000</v>
      </c>
      <c r="T908" s="219">
        <f t="shared" ref="T908" si="228">R908+S908</f>
        <v>800000</v>
      </c>
      <c r="U908" s="19"/>
      <c r="V908" s="19"/>
      <c r="W908" s="19"/>
      <c r="X908" s="19"/>
      <c r="Y908" s="165">
        <v>0.4</v>
      </c>
      <c r="Z908" s="376">
        <f t="shared" si="205"/>
        <v>320000</v>
      </c>
      <c r="AA908" s="19"/>
      <c r="AB908" s="376">
        <f t="shared" si="206"/>
        <v>520000</v>
      </c>
      <c r="AC908" s="38">
        <f t="shared" si="217"/>
        <v>200000</v>
      </c>
      <c r="AD908" s="19" t="s">
        <v>6051</v>
      </c>
      <c r="AE908" s="19"/>
    </row>
    <row r="909" spans="1:31" ht="63" x14ac:dyDescent="0.25">
      <c r="A909" s="113">
        <v>906</v>
      </c>
      <c r="B909" s="22">
        <v>44062</v>
      </c>
      <c r="C909" s="148" t="s">
        <v>6052</v>
      </c>
      <c r="D909" s="148"/>
      <c r="E909" s="148" t="s">
        <v>3646</v>
      </c>
      <c r="F909" s="101" t="s">
        <v>6054</v>
      </c>
      <c r="G909" s="10"/>
      <c r="H909" s="101" t="s">
        <v>168</v>
      </c>
      <c r="I909" s="148" t="s">
        <v>6053</v>
      </c>
      <c r="J909" s="10"/>
      <c r="K909" s="10"/>
      <c r="L909" s="19"/>
      <c r="M909" s="13"/>
      <c r="N909" s="249"/>
      <c r="O909" s="19" t="s">
        <v>1145</v>
      </c>
      <c r="P909" s="19"/>
      <c r="Q909" s="19"/>
      <c r="R909" s="13"/>
      <c r="S909" s="19"/>
      <c r="T909" s="19"/>
      <c r="U909" s="19"/>
      <c r="V909" s="19"/>
      <c r="W909" s="19"/>
      <c r="X909" s="19"/>
      <c r="Y909" s="19"/>
      <c r="Z909" s="376">
        <f t="shared" si="205"/>
        <v>0</v>
      </c>
      <c r="AA909" s="19"/>
      <c r="AB909" s="376">
        <f t="shared" si="206"/>
        <v>0</v>
      </c>
      <c r="AC909" s="38">
        <f t="shared" si="217"/>
        <v>0</v>
      </c>
      <c r="AD909" s="19"/>
      <c r="AE909" s="19"/>
    </row>
    <row r="910" spans="1:31" ht="47.25" x14ac:dyDescent="0.25">
      <c r="A910" s="74">
        <v>907</v>
      </c>
      <c r="B910" s="373">
        <v>44062</v>
      </c>
      <c r="C910" s="148" t="s">
        <v>6055</v>
      </c>
      <c r="D910" s="148"/>
      <c r="E910" s="148" t="s">
        <v>3646</v>
      </c>
      <c r="F910" s="101" t="s">
        <v>6057</v>
      </c>
      <c r="G910" s="10"/>
      <c r="H910" s="101" t="s">
        <v>168</v>
      </c>
      <c r="I910" s="148" t="s">
        <v>6056</v>
      </c>
      <c r="J910" s="10"/>
      <c r="K910" s="10"/>
      <c r="L910" s="19"/>
      <c r="M910" s="13"/>
      <c r="N910" s="249"/>
      <c r="O910" s="19" t="s">
        <v>1145</v>
      </c>
      <c r="P910" s="19"/>
      <c r="Q910" s="19"/>
      <c r="R910" s="13"/>
      <c r="S910" s="19"/>
      <c r="T910" s="19"/>
      <c r="U910" s="19"/>
      <c r="V910" s="19"/>
      <c r="W910" s="19"/>
      <c r="X910" s="19"/>
      <c r="Y910" s="19"/>
      <c r="Z910" s="376">
        <f t="shared" si="205"/>
        <v>0</v>
      </c>
      <c r="AA910" s="19"/>
      <c r="AB910" s="376">
        <f t="shared" si="206"/>
        <v>0</v>
      </c>
      <c r="AC910" s="38">
        <f t="shared" si="217"/>
        <v>0</v>
      </c>
      <c r="AD910" s="19"/>
      <c r="AE910" s="19"/>
    </row>
    <row r="911" spans="1:31" s="272" customFormat="1" ht="47.25" x14ac:dyDescent="0.25">
      <c r="A911" s="311">
        <v>908</v>
      </c>
      <c r="B911" s="373">
        <v>44062</v>
      </c>
      <c r="C911" s="358" t="s">
        <v>6058</v>
      </c>
      <c r="D911" s="358"/>
      <c r="E911" s="358" t="s">
        <v>309</v>
      </c>
      <c r="F911" s="335" t="s">
        <v>6060</v>
      </c>
      <c r="G911" s="269"/>
      <c r="H911" s="335" t="s">
        <v>273</v>
      </c>
      <c r="I911" s="358" t="s">
        <v>6059</v>
      </c>
      <c r="J911" s="269"/>
      <c r="K911" s="269"/>
      <c r="L911" s="266"/>
      <c r="M911" s="278"/>
      <c r="N911" s="439"/>
      <c r="O911" s="649" t="s">
        <v>4918</v>
      </c>
      <c r="P911" s="649" t="s">
        <v>180</v>
      </c>
      <c r="Q911" s="508">
        <v>300</v>
      </c>
      <c r="R911" s="415">
        <v>500000</v>
      </c>
      <c r="S911" s="508">
        <v>300000</v>
      </c>
      <c r="T911" s="280">
        <f t="shared" ref="T911" si="229">R911+S911</f>
        <v>800000</v>
      </c>
      <c r="U911" s="266"/>
      <c r="V911" s="266"/>
      <c r="W911" s="266"/>
      <c r="X911" s="266"/>
      <c r="Y911" s="266"/>
      <c r="Z911" s="605">
        <f t="shared" si="205"/>
        <v>0</v>
      </c>
      <c r="AA911" s="266"/>
      <c r="AB911" s="605">
        <f t="shared" si="206"/>
        <v>520000</v>
      </c>
      <c r="AC911" s="607">
        <f t="shared" si="217"/>
        <v>520000</v>
      </c>
      <c r="AD911" s="266"/>
      <c r="AE911" s="266"/>
    </row>
    <row r="912" spans="1:31" ht="47.25" x14ac:dyDescent="0.25">
      <c r="A912" s="113">
        <v>909</v>
      </c>
      <c r="B912" s="22">
        <v>44062</v>
      </c>
      <c r="C912" s="148" t="s">
        <v>6061</v>
      </c>
      <c r="D912" s="148"/>
      <c r="E912" s="148" t="s">
        <v>3479</v>
      </c>
      <c r="F912" s="101" t="s">
        <v>6063</v>
      </c>
      <c r="G912" s="10"/>
      <c r="H912" s="101" t="s">
        <v>273</v>
      </c>
      <c r="I912" s="148" t="s">
        <v>6062</v>
      </c>
      <c r="J912" s="37" t="s">
        <v>6065</v>
      </c>
      <c r="K912" s="310" t="s">
        <v>6064</v>
      </c>
      <c r="L912" s="19"/>
      <c r="M912" s="13"/>
      <c r="N912" s="249"/>
      <c r="O912" s="693" t="s">
        <v>4918</v>
      </c>
      <c r="P912" s="693" t="s">
        <v>180</v>
      </c>
      <c r="Q912" s="365">
        <v>300</v>
      </c>
      <c r="R912" s="364">
        <v>500000</v>
      </c>
      <c r="S912" s="365">
        <v>300000</v>
      </c>
      <c r="T912" s="219">
        <f t="shared" ref="T912:T913" si="230">R912+S912</f>
        <v>800000</v>
      </c>
      <c r="U912" s="19"/>
      <c r="V912" s="19"/>
      <c r="W912" s="19"/>
      <c r="X912" s="19"/>
      <c r="Y912" s="165">
        <v>0.4</v>
      </c>
      <c r="Z912" s="376">
        <f t="shared" si="205"/>
        <v>320000</v>
      </c>
      <c r="AA912" s="19"/>
      <c r="AB912" s="376">
        <f t="shared" si="206"/>
        <v>520000</v>
      </c>
      <c r="AC912" s="38">
        <f t="shared" si="217"/>
        <v>200000</v>
      </c>
      <c r="AD912" s="19" t="s">
        <v>6066</v>
      </c>
      <c r="AE912" s="19"/>
    </row>
    <row r="913" spans="1:31" s="272" customFormat="1" ht="47.25" x14ac:dyDescent="0.25">
      <c r="A913" s="74">
        <v>910</v>
      </c>
      <c r="B913" s="373">
        <v>44063</v>
      </c>
      <c r="C913" s="358" t="s">
        <v>6067</v>
      </c>
      <c r="D913" s="358"/>
      <c r="E913" s="358" t="s">
        <v>309</v>
      </c>
      <c r="F913" s="335" t="s">
        <v>6069</v>
      </c>
      <c r="G913" s="269"/>
      <c r="H913" s="335" t="s">
        <v>273</v>
      </c>
      <c r="I913" s="358" t="s">
        <v>6068</v>
      </c>
      <c r="J913" s="269"/>
      <c r="K913" s="269"/>
      <c r="L913" s="266"/>
      <c r="M913" s="278"/>
      <c r="N913" s="439"/>
      <c r="O913" s="649" t="s">
        <v>4918</v>
      </c>
      <c r="P913" s="649" t="s">
        <v>180</v>
      </c>
      <c r="Q913" s="508">
        <v>300</v>
      </c>
      <c r="R913" s="415">
        <v>500000</v>
      </c>
      <c r="S913" s="508">
        <v>300000</v>
      </c>
      <c r="T913" s="280">
        <f t="shared" si="230"/>
        <v>800000</v>
      </c>
      <c r="U913" s="266"/>
      <c r="V913" s="266"/>
      <c r="W913" s="266"/>
      <c r="X913" s="266"/>
      <c r="Y913" s="271">
        <v>0.35</v>
      </c>
      <c r="Z913" s="605">
        <f t="shared" si="205"/>
        <v>280000</v>
      </c>
      <c r="AA913" s="266"/>
      <c r="AB913" s="605">
        <f t="shared" si="206"/>
        <v>520000</v>
      </c>
      <c r="AC913" s="607">
        <f t="shared" si="217"/>
        <v>240000</v>
      </c>
      <c r="AD913" s="266"/>
      <c r="AE913" s="266"/>
    </row>
    <row r="914" spans="1:31" s="272" customFormat="1" ht="47.25" x14ac:dyDescent="0.25">
      <c r="A914" s="311">
        <v>911</v>
      </c>
      <c r="B914" s="373">
        <v>44063</v>
      </c>
      <c r="C914" s="358" t="s">
        <v>6070</v>
      </c>
      <c r="D914" s="358"/>
      <c r="E914" s="358" t="s">
        <v>3479</v>
      </c>
      <c r="F914" s="335" t="s">
        <v>6071</v>
      </c>
      <c r="G914" s="269"/>
      <c r="H914" s="335" t="s">
        <v>1639</v>
      </c>
      <c r="I914" s="358" t="s">
        <v>6072</v>
      </c>
      <c r="J914" s="269"/>
      <c r="K914" s="269"/>
      <c r="L914" s="266"/>
      <c r="M914" s="278"/>
      <c r="N914" s="439"/>
      <c r="O914" s="649" t="s">
        <v>4918</v>
      </c>
      <c r="P914" s="649" t="s">
        <v>180</v>
      </c>
      <c r="Q914" s="508">
        <v>300</v>
      </c>
      <c r="R914" s="415">
        <v>500000</v>
      </c>
      <c r="S914" s="508">
        <v>300000</v>
      </c>
      <c r="T914" s="280">
        <f t="shared" ref="T914:T915" si="231">R914+S914</f>
        <v>800000</v>
      </c>
      <c r="U914" s="266"/>
      <c r="V914" s="266"/>
      <c r="W914" s="266"/>
      <c r="X914" s="266"/>
      <c r="Y914" s="271">
        <v>0.35</v>
      </c>
      <c r="Z914" s="605">
        <f t="shared" si="205"/>
        <v>280000</v>
      </c>
      <c r="AA914" s="266"/>
      <c r="AB914" s="605">
        <f t="shared" si="206"/>
        <v>520000</v>
      </c>
      <c r="AC914" s="607">
        <f t="shared" si="217"/>
        <v>240000</v>
      </c>
      <c r="AD914" s="266"/>
      <c r="AE914" s="266"/>
    </row>
    <row r="915" spans="1:31" s="272" customFormat="1" ht="47.25" x14ac:dyDescent="0.25">
      <c r="A915" s="113">
        <v>912</v>
      </c>
      <c r="B915" s="373">
        <v>44064</v>
      </c>
      <c r="C915" s="358" t="s">
        <v>6073</v>
      </c>
      <c r="D915" s="358" t="s">
        <v>5925</v>
      </c>
      <c r="E915" s="358"/>
      <c r="F915" s="335" t="s">
        <v>6074</v>
      </c>
      <c r="G915" s="269"/>
      <c r="H915" s="335" t="s">
        <v>1772</v>
      </c>
      <c r="I915" s="358" t="s">
        <v>6075</v>
      </c>
      <c r="J915" s="269"/>
      <c r="K915" s="269"/>
      <c r="L915" s="266"/>
      <c r="M915" s="278"/>
      <c r="N915" s="439"/>
      <c r="O915" s="649" t="s">
        <v>5860</v>
      </c>
      <c r="P915" s="649" t="s">
        <v>180</v>
      </c>
      <c r="Q915" s="508">
        <v>0</v>
      </c>
      <c r="R915" s="415">
        <v>500000</v>
      </c>
      <c r="S915" s="508">
        <v>0</v>
      </c>
      <c r="T915" s="280">
        <f t="shared" si="231"/>
        <v>500000</v>
      </c>
      <c r="U915" s="266"/>
      <c r="V915" s="266"/>
      <c r="W915" s="266"/>
      <c r="X915" s="266"/>
      <c r="Y915" s="271">
        <v>0.35</v>
      </c>
      <c r="Z915" s="605">
        <f t="shared" si="205"/>
        <v>175000</v>
      </c>
      <c r="AA915" s="266"/>
      <c r="AB915" s="605">
        <f t="shared" si="206"/>
        <v>325000</v>
      </c>
      <c r="AC915" s="607">
        <f t="shared" si="217"/>
        <v>150000</v>
      </c>
      <c r="AD915" s="266"/>
      <c r="AE915" s="266"/>
    </row>
    <row r="916" spans="1:31" s="272" customFormat="1" ht="47.25" x14ac:dyDescent="0.25">
      <c r="A916" s="74">
        <v>913</v>
      </c>
      <c r="B916" s="373">
        <v>44064</v>
      </c>
      <c r="C916" s="358" t="s">
        <v>6077</v>
      </c>
      <c r="D916" s="358" t="s">
        <v>5925</v>
      </c>
      <c r="E916" s="358"/>
      <c r="F916" s="335" t="s">
        <v>6076</v>
      </c>
      <c r="G916" s="269"/>
      <c r="H916" s="335" t="s">
        <v>168</v>
      </c>
      <c r="I916" s="358" t="s">
        <v>6078</v>
      </c>
      <c r="J916" s="269"/>
      <c r="K916" s="269"/>
      <c r="L916" s="266"/>
      <c r="M916" s="278"/>
      <c r="N916" s="439"/>
      <c r="O916" s="649" t="s">
        <v>4918</v>
      </c>
      <c r="P916" s="649" t="s">
        <v>180</v>
      </c>
      <c r="Q916" s="508">
        <v>300</v>
      </c>
      <c r="R916" s="415">
        <v>500000</v>
      </c>
      <c r="S916" s="508">
        <v>300000</v>
      </c>
      <c r="T916" s="280">
        <f t="shared" ref="T916" si="232">R916+S916</f>
        <v>800000</v>
      </c>
      <c r="U916" s="266"/>
      <c r="V916" s="266"/>
      <c r="W916" s="266"/>
      <c r="X916" s="266"/>
      <c r="Y916" s="271">
        <v>0.35</v>
      </c>
      <c r="Z916" s="605">
        <f t="shared" si="205"/>
        <v>280000</v>
      </c>
      <c r="AA916" s="266"/>
      <c r="AB916" s="605">
        <f t="shared" si="206"/>
        <v>520000</v>
      </c>
      <c r="AC916" s="607">
        <f t="shared" si="217"/>
        <v>240000</v>
      </c>
      <c r="AD916" s="266"/>
      <c r="AE916" s="266"/>
    </row>
    <row r="917" spans="1:31" ht="47.25" x14ac:dyDescent="0.25">
      <c r="A917" s="311">
        <v>914</v>
      </c>
      <c r="B917" s="22">
        <v>44064</v>
      </c>
      <c r="C917" s="148" t="s">
        <v>6079</v>
      </c>
      <c r="D917" s="148"/>
      <c r="E917" s="148" t="s">
        <v>3646</v>
      </c>
      <c r="F917" s="101" t="s">
        <v>6080</v>
      </c>
      <c r="G917" s="10"/>
      <c r="H917" s="101" t="s">
        <v>168</v>
      </c>
      <c r="I917" s="148" t="s">
        <v>6081</v>
      </c>
      <c r="J917" s="10" t="s">
        <v>6082</v>
      </c>
      <c r="K917" s="10"/>
      <c r="L917" s="19"/>
      <c r="M917" s="13"/>
      <c r="N917" s="249"/>
      <c r="O917" s="19" t="s">
        <v>1144</v>
      </c>
      <c r="P917" s="19"/>
      <c r="Q917" s="19"/>
      <c r="R917" s="13"/>
      <c r="S917" s="19"/>
      <c r="T917" s="19"/>
      <c r="U917" s="19"/>
      <c r="V917" s="19"/>
      <c r="W917" s="19"/>
      <c r="X917" s="19"/>
      <c r="Y917" s="19"/>
      <c r="Z917" s="376">
        <f t="shared" si="205"/>
        <v>0</v>
      </c>
      <c r="AA917" s="19"/>
      <c r="AB917" s="376">
        <f t="shared" si="206"/>
        <v>0</v>
      </c>
      <c r="AC917" s="38">
        <f t="shared" si="217"/>
        <v>0</v>
      </c>
      <c r="AD917" s="19"/>
      <c r="AE917" s="19"/>
    </row>
    <row r="918" spans="1:31" s="272" customFormat="1" ht="47.25" x14ac:dyDescent="0.25">
      <c r="A918" s="113">
        <v>915</v>
      </c>
      <c r="B918" s="373">
        <v>44064</v>
      </c>
      <c r="C918" s="358" t="s">
        <v>6083</v>
      </c>
      <c r="D918" s="358"/>
      <c r="E918" s="358" t="s">
        <v>309</v>
      </c>
      <c r="F918" s="335" t="s">
        <v>6084</v>
      </c>
      <c r="G918" s="269"/>
      <c r="H918" s="335" t="s">
        <v>353</v>
      </c>
      <c r="I918" s="358" t="s">
        <v>6085</v>
      </c>
      <c r="J918" s="269"/>
      <c r="K918" s="269"/>
      <c r="L918" s="266"/>
      <c r="M918" s="278"/>
      <c r="N918" s="439"/>
      <c r="O918" s="649" t="s">
        <v>5860</v>
      </c>
      <c r="P918" s="649" t="s">
        <v>180</v>
      </c>
      <c r="Q918" s="508">
        <v>0</v>
      </c>
      <c r="R918" s="415">
        <v>500000</v>
      </c>
      <c r="S918" s="508">
        <v>0</v>
      </c>
      <c r="T918" s="280">
        <f t="shared" ref="T918:T919" si="233">R918+S918</f>
        <v>500000</v>
      </c>
      <c r="U918" s="266"/>
      <c r="V918" s="266"/>
      <c r="W918" s="266"/>
      <c r="X918" s="266"/>
      <c r="Y918" s="271">
        <v>0.35</v>
      </c>
      <c r="Z918" s="605">
        <f t="shared" si="205"/>
        <v>175000</v>
      </c>
      <c r="AA918" s="266"/>
      <c r="AB918" s="605">
        <f t="shared" si="206"/>
        <v>325000</v>
      </c>
      <c r="AC918" s="607">
        <f t="shared" si="217"/>
        <v>150000</v>
      </c>
      <c r="AD918" s="266"/>
      <c r="AE918" s="266"/>
    </row>
    <row r="919" spans="1:31" s="730" customFormat="1" ht="47.25" x14ac:dyDescent="0.25">
      <c r="A919" s="717">
        <v>916</v>
      </c>
      <c r="B919" s="718">
        <v>44064</v>
      </c>
      <c r="C919" s="719" t="s">
        <v>6086</v>
      </c>
      <c r="D919" s="719"/>
      <c r="E919" s="719" t="s">
        <v>3646</v>
      </c>
      <c r="F919" s="720" t="s">
        <v>6087</v>
      </c>
      <c r="G919" s="721"/>
      <c r="H919" s="720" t="s">
        <v>168</v>
      </c>
      <c r="I919" s="719" t="s">
        <v>6088</v>
      </c>
      <c r="J919" s="721" t="s">
        <v>6090</v>
      </c>
      <c r="K919" s="722" t="s">
        <v>6091</v>
      </c>
      <c r="L919" s="721" t="s">
        <v>6599</v>
      </c>
      <c r="M919" s="723"/>
      <c r="N919" s="724"/>
      <c r="O919" s="725" t="s">
        <v>6089</v>
      </c>
      <c r="P919" s="725" t="s">
        <v>180</v>
      </c>
      <c r="Q919" s="726">
        <v>1000</v>
      </c>
      <c r="R919" s="727">
        <v>500000</v>
      </c>
      <c r="S919" s="726">
        <v>675000</v>
      </c>
      <c r="T919" s="728">
        <f t="shared" si="233"/>
        <v>1175000</v>
      </c>
      <c r="U919" s="721"/>
      <c r="V919" s="721"/>
      <c r="W919" s="721"/>
      <c r="X919" s="721"/>
      <c r="Y919" s="721"/>
      <c r="Z919" s="605">
        <f t="shared" si="205"/>
        <v>0</v>
      </c>
      <c r="AA919" s="721"/>
      <c r="AB919" s="729">
        <f t="shared" si="206"/>
        <v>763750</v>
      </c>
      <c r="AC919" s="729">
        <f t="shared" si="217"/>
        <v>763750</v>
      </c>
      <c r="AD919" s="721"/>
      <c r="AE919" s="721"/>
    </row>
    <row r="920" spans="1:31" s="730" customFormat="1" ht="47.25" x14ac:dyDescent="0.25">
      <c r="A920" s="731">
        <v>917</v>
      </c>
      <c r="B920" s="718">
        <v>44064</v>
      </c>
      <c r="C920" s="719" t="s">
        <v>6092</v>
      </c>
      <c r="D920" s="719"/>
      <c r="E920" s="719" t="s">
        <v>3646</v>
      </c>
      <c r="F920" s="720" t="s">
        <v>6094</v>
      </c>
      <c r="G920" s="721"/>
      <c r="H920" s="720" t="s">
        <v>322</v>
      </c>
      <c r="I920" s="719" t="s">
        <v>6093</v>
      </c>
      <c r="J920" s="721" t="s">
        <v>6095</v>
      </c>
      <c r="K920" s="722" t="s">
        <v>6096</v>
      </c>
      <c r="L920" s="721" t="s">
        <v>6599</v>
      </c>
      <c r="M920" s="723"/>
      <c r="N920" s="724"/>
      <c r="O920" s="725" t="s">
        <v>6089</v>
      </c>
      <c r="P920" s="725" t="s">
        <v>180</v>
      </c>
      <c r="Q920" s="726">
        <v>1000</v>
      </c>
      <c r="R920" s="727">
        <v>500000</v>
      </c>
      <c r="S920" s="726">
        <v>675000</v>
      </c>
      <c r="T920" s="728">
        <f t="shared" ref="T920" si="234">R920+S920</f>
        <v>1175000</v>
      </c>
      <c r="U920" s="721"/>
      <c r="V920" s="721"/>
      <c r="W920" s="721"/>
      <c r="X920" s="721"/>
      <c r="Y920" s="732">
        <v>0.4</v>
      </c>
      <c r="Z920" s="605">
        <f t="shared" si="205"/>
        <v>470000</v>
      </c>
      <c r="AA920" s="721"/>
      <c r="AB920" s="729">
        <f t="shared" si="206"/>
        <v>763750</v>
      </c>
      <c r="AC920" s="729">
        <f t="shared" si="217"/>
        <v>293750</v>
      </c>
      <c r="AD920" s="721"/>
      <c r="AE920" s="721"/>
    </row>
    <row r="921" spans="1:31" ht="63" x14ac:dyDescent="0.25">
      <c r="A921" s="113">
        <v>918</v>
      </c>
      <c r="B921" s="22">
        <v>44064</v>
      </c>
      <c r="C921" s="148" t="s">
        <v>6097</v>
      </c>
      <c r="D921" s="148"/>
      <c r="E921" s="148" t="s">
        <v>2404</v>
      </c>
      <c r="F921" s="101" t="s">
        <v>6099</v>
      </c>
      <c r="G921" s="10"/>
      <c r="H921" s="101" t="s">
        <v>1177</v>
      </c>
      <c r="I921" s="148" t="s">
        <v>6098</v>
      </c>
      <c r="J921" s="10" t="s">
        <v>6100</v>
      </c>
      <c r="K921" s="310" t="s">
        <v>6101</v>
      </c>
      <c r="L921" s="19"/>
      <c r="M921" s="13"/>
      <c r="N921" s="249"/>
      <c r="O921" s="19" t="s">
        <v>4483</v>
      </c>
      <c r="P921" s="19"/>
      <c r="Q921" s="19"/>
      <c r="R921" s="13"/>
      <c r="S921" s="19"/>
      <c r="T921" s="19"/>
      <c r="U921" s="19"/>
      <c r="V921" s="19"/>
      <c r="W921" s="19"/>
      <c r="X921" s="19"/>
      <c r="Y921" s="19"/>
      <c r="Z921" s="376">
        <f t="shared" si="205"/>
        <v>0</v>
      </c>
      <c r="AA921" s="19"/>
      <c r="AB921" s="376">
        <f t="shared" si="206"/>
        <v>0</v>
      </c>
      <c r="AC921" s="38">
        <f t="shared" si="217"/>
        <v>0</v>
      </c>
      <c r="AD921" s="19"/>
      <c r="AE921" s="19"/>
    </row>
    <row r="922" spans="1:31" s="272" customFormat="1" ht="63" x14ac:dyDescent="0.25">
      <c r="A922" s="74">
        <v>919</v>
      </c>
      <c r="B922" s="373">
        <v>44064</v>
      </c>
      <c r="C922" s="358" t="s">
        <v>6102</v>
      </c>
      <c r="D922" s="358"/>
      <c r="E922" s="358" t="s">
        <v>309</v>
      </c>
      <c r="F922" s="335" t="s">
        <v>6104</v>
      </c>
      <c r="G922" s="269"/>
      <c r="H922" s="335" t="s">
        <v>353</v>
      </c>
      <c r="I922" s="358" t="s">
        <v>6103</v>
      </c>
      <c r="J922" s="269"/>
      <c r="K922" s="269"/>
      <c r="L922" s="266"/>
      <c r="M922" s="278"/>
      <c r="N922" s="439"/>
      <c r="O922" s="649" t="s">
        <v>5860</v>
      </c>
      <c r="P922" s="649" t="s">
        <v>180</v>
      </c>
      <c r="Q922" s="508">
        <v>0</v>
      </c>
      <c r="R922" s="415">
        <v>500000</v>
      </c>
      <c r="S922" s="508">
        <v>0</v>
      </c>
      <c r="T922" s="280">
        <f t="shared" ref="T922:T923" si="235">R922+S922</f>
        <v>500000</v>
      </c>
      <c r="U922" s="266"/>
      <c r="V922" s="266"/>
      <c r="W922" s="266"/>
      <c r="X922" s="266"/>
      <c r="Y922" s="271">
        <v>0.35</v>
      </c>
      <c r="Z922" s="605">
        <f t="shared" si="205"/>
        <v>175000</v>
      </c>
      <c r="AA922" s="266"/>
      <c r="AB922" s="605">
        <f t="shared" si="206"/>
        <v>325000</v>
      </c>
      <c r="AC922" s="607">
        <f t="shared" si="217"/>
        <v>150000</v>
      </c>
      <c r="AD922" s="266"/>
      <c r="AE922" s="266"/>
    </row>
    <row r="923" spans="1:31" s="272" customFormat="1" ht="47.25" x14ac:dyDescent="0.25">
      <c r="A923" s="311">
        <v>920</v>
      </c>
      <c r="B923" s="373">
        <v>44064</v>
      </c>
      <c r="C923" s="358" t="s">
        <v>6105</v>
      </c>
      <c r="D923" s="358" t="s">
        <v>502</v>
      </c>
      <c r="E923" s="358" t="s">
        <v>3646</v>
      </c>
      <c r="F923" s="335" t="s">
        <v>6106</v>
      </c>
      <c r="G923" s="269"/>
      <c r="H923" s="335" t="s">
        <v>168</v>
      </c>
      <c r="I923" s="358" t="s">
        <v>6107</v>
      </c>
      <c r="J923" s="269" t="s">
        <v>6108</v>
      </c>
      <c r="K923" s="380" t="s">
        <v>6109</v>
      </c>
      <c r="L923" s="266"/>
      <c r="M923" s="278"/>
      <c r="N923" s="439"/>
      <c r="O923" s="649" t="s">
        <v>4918</v>
      </c>
      <c r="P923" s="649" t="s">
        <v>180</v>
      </c>
      <c r="Q923" s="508">
        <v>300</v>
      </c>
      <c r="R923" s="415">
        <v>500000</v>
      </c>
      <c r="S923" s="508">
        <v>300000</v>
      </c>
      <c r="T923" s="280">
        <f t="shared" si="235"/>
        <v>800000</v>
      </c>
      <c r="U923" s="266"/>
      <c r="V923" s="266"/>
      <c r="W923" s="266"/>
      <c r="X923" s="266"/>
      <c r="Y923" s="271">
        <v>0.4</v>
      </c>
      <c r="Z923" s="605">
        <f t="shared" si="205"/>
        <v>320000</v>
      </c>
      <c r="AA923" s="266"/>
      <c r="AB923" s="605">
        <f t="shared" si="206"/>
        <v>520000</v>
      </c>
      <c r="AC923" s="607">
        <f t="shared" si="217"/>
        <v>200000</v>
      </c>
      <c r="AD923" s="266"/>
      <c r="AE923" s="266"/>
    </row>
    <row r="924" spans="1:31" ht="63" x14ac:dyDescent="0.25">
      <c r="A924" s="113">
        <v>921</v>
      </c>
      <c r="B924" s="22">
        <v>44064</v>
      </c>
      <c r="C924" s="148" t="s">
        <v>6110</v>
      </c>
      <c r="D924" s="148" t="s">
        <v>3024</v>
      </c>
      <c r="E924" s="148" t="s">
        <v>4753</v>
      </c>
      <c r="F924" s="101" t="s">
        <v>6112</v>
      </c>
      <c r="G924" s="10"/>
      <c r="H924" s="101" t="s">
        <v>353</v>
      </c>
      <c r="I924" s="148" t="s">
        <v>6111</v>
      </c>
      <c r="J924" s="10"/>
      <c r="K924" s="10"/>
      <c r="L924" s="19"/>
      <c r="M924" s="13"/>
      <c r="N924" s="249"/>
      <c r="O924" s="693" t="s">
        <v>5697</v>
      </c>
      <c r="P924" s="693"/>
      <c r="Q924" s="365"/>
      <c r="R924" s="364"/>
      <c r="S924" s="365"/>
      <c r="T924" s="219"/>
      <c r="U924" s="19"/>
      <c r="V924" s="19"/>
      <c r="W924" s="19"/>
      <c r="X924" s="19"/>
      <c r="Y924" s="19"/>
      <c r="Z924" s="376">
        <f t="shared" si="205"/>
        <v>0</v>
      </c>
      <c r="AA924" s="19"/>
      <c r="AB924" s="376">
        <f t="shared" si="206"/>
        <v>0</v>
      </c>
      <c r="AC924" s="38">
        <f t="shared" si="217"/>
        <v>0</v>
      </c>
      <c r="AD924" s="19"/>
      <c r="AE924" s="19"/>
    </row>
    <row r="925" spans="1:31" s="272" customFormat="1" ht="47.25" x14ac:dyDescent="0.25">
      <c r="A925" s="74">
        <v>922</v>
      </c>
      <c r="B925" s="373">
        <v>44064</v>
      </c>
      <c r="C925" s="358" t="s">
        <v>6113</v>
      </c>
      <c r="D925" s="358"/>
      <c r="E925" s="358" t="s">
        <v>3479</v>
      </c>
      <c r="F925" s="335" t="s">
        <v>6115</v>
      </c>
      <c r="G925" s="269"/>
      <c r="H925" s="335" t="s">
        <v>168</v>
      </c>
      <c r="I925" s="358" t="s">
        <v>6114</v>
      </c>
      <c r="J925" s="269"/>
      <c r="K925" s="269"/>
      <c r="L925" s="266"/>
      <c r="M925" s="278"/>
      <c r="N925" s="439"/>
      <c r="O925" s="649" t="s">
        <v>6116</v>
      </c>
      <c r="P925" s="649" t="s">
        <v>94</v>
      </c>
      <c r="Q925" s="508">
        <v>5000</v>
      </c>
      <c r="R925" s="415"/>
      <c r="S925" s="508">
        <v>2250000</v>
      </c>
      <c r="T925" s="280">
        <f t="shared" ref="T925:T927" si="236">R925+S925</f>
        <v>2250000</v>
      </c>
      <c r="U925" s="266"/>
      <c r="V925" s="266"/>
      <c r="W925" s="266"/>
      <c r="X925" s="266"/>
      <c r="Y925" s="271">
        <v>0.4</v>
      </c>
      <c r="Z925" s="605">
        <f t="shared" si="205"/>
        <v>900000</v>
      </c>
      <c r="AA925" s="266"/>
      <c r="AB925" s="605">
        <f t="shared" si="206"/>
        <v>1462500</v>
      </c>
      <c r="AC925" s="607">
        <f t="shared" si="217"/>
        <v>562500</v>
      </c>
      <c r="AD925" s="266"/>
      <c r="AE925" s="266"/>
    </row>
    <row r="926" spans="1:31" s="730" customFormat="1" ht="31.5" x14ac:dyDescent="0.25">
      <c r="A926" s="731">
        <v>923</v>
      </c>
      <c r="B926" s="718">
        <v>44064</v>
      </c>
      <c r="C926" s="719" t="s">
        <v>6117</v>
      </c>
      <c r="D926" s="719" t="s">
        <v>3024</v>
      </c>
      <c r="E926" s="719" t="s">
        <v>4753</v>
      </c>
      <c r="F926" s="720" t="s">
        <v>6119</v>
      </c>
      <c r="G926" s="721"/>
      <c r="H926" s="720" t="s">
        <v>168</v>
      </c>
      <c r="I926" s="719" t="s">
        <v>6118</v>
      </c>
      <c r="J926" s="721"/>
      <c r="K926" s="721" t="s">
        <v>6599</v>
      </c>
      <c r="L926" s="721"/>
      <c r="M926" s="723"/>
      <c r="N926" s="724"/>
      <c r="O926" s="725" t="s">
        <v>4918</v>
      </c>
      <c r="P926" s="725" t="s">
        <v>180</v>
      </c>
      <c r="Q926" s="726">
        <v>300</v>
      </c>
      <c r="R926" s="727">
        <v>500000</v>
      </c>
      <c r="S926" s="726">
        <v>300000</v>
      </c>
      <c r="T926" s="728">
        <f t="shared" si="236"/>
        <v>800000</v>
      </c>
      <c r="U926" s="721"/>
      <c r="V926" s="721"/>
      <c r="W926" s="721"/>
      <c r="X926" s="721"/>
      <c r="Y926" s="732">
        <v>0.45</v>
      </c>
      <c r="Z926" s="605">
        <f t="shared" si="205"/>
        <v>360000</v>
      </c>
      <c r="AA926" s="721"/>
      <c r="AB926" s="729">
        <f t="shared" si="206"/>
        <v>520000</v>
      </c>
      <c r="AC926" s="729">
        <f t="shared" si="217"/>
        <v>160000</v>
      </c>
      <c r="AD926" s="721"/>
      <c r="AE926" s="721"/>
    </row>
    <row r="927" spans="1:31" s="272" customFormat="1" ht="47.25" x14ac:dyDescent="0.25">
      <c r="A927" s="113">
        <v>924</v>
      </c>
      <c r="B927" s="373">
        <v>44064</v>
      </c>
      <c r="C927" s="358" t="s">
        <v>6120</v>
      </c>
      <c r="D927" s="358"/>
      <c r="E927" s="358" t="s">
        <v>3646</v>
      </c>
      <c r="F927" s="335" t="s">
        <v>6122</v>
      </c>
      <c r="G927" s="269"/>
      <c r="H927" s="335" t="s">
        <v>168</v>
      </c>
      <c r="I927" s="358" t="s">
        <v>6121</v>
      </c>
      <c r="J927" s="269" t="s">
        <v>6090</v>
      </c>
      <c r="K927" s="380" t="s">
        <v>6091</v>
      </c>
      <c r="L927" s="266"/>
      <c r="M927" s="278"/>
      <c r="N927" s="439"/>
      <c r="O927" s="649" t="s">
        <v>5594</v>
      </c>
      <c r="P927" s="649" t="s">
        <v>180</v>
      </c>
      <c r="Q927" s="508">
        <v>500</v>
      </c>
      <c r="R927" s="415">
        <v>500000</v>
      </c>
      <c r="S927" s="508">
        <v>425000</v>
      </c>
      <c r="T927" s="280">
        <f t="shared" si="236"/>
        <v>925000</v>
      </c>
      <c r="U927" s="266"/>
      <c r="V927" s="266"/>
      <c r="W927" s="266"/>
      <c r="X927" s="266"/>
      <c r="Y927" s="266"/>
      <c r="Z927" s="605">
        <f t="shared" si="205"/>
        <v>0</v>
      </c>
      <c r="AA927" s="266"/>
      <c r="AB927" s="605">
        <f t="shared" si="206"/>
        <v>601250</v>
      </c>
      <c r="AC927" s="607">
        <f t="shared" si="217"/>
        <v>601250</v>
      </c>
      <c r="AD927" s="266"/>
      <c r="AE927" s="266"/>
    </row>
    <row r="928" spans="1:31" s="272" customFormat="1" ht="47.25" x14ac:dyDescent="0.25">
      <c r="A928" s="74">
        <v>925</v>
      </c>
      <c r="B928" s="373">
        <v>44064</v>
      </c>
      <c r="C928" s="358" t="s">
        <v>6123</v>
      </c>
      <c r="D928" s="358" t="s">
        <v>3024</v>
      </c>
      <c r="E928" s="358" t="s">
        <v>4753</v>
      </c>
      <c r="F928" s="335" t="s">
        <v>6125</v>
      </c>
      <c r="G928" s="269"/>
      <c r="H928" s="335" t="s">
        <v>659</v>
      </c>
      <c r="I928" s="358" t="s">
        <v>6124</v>
      </c>
      <c r="J928" s="269"/>
      <c r="K928" s="269"/>
      <c r="L928" s="266"/>
      <c r="M928" s="278"/>
      <c r="N928" s="439"/>
      <c r="O928" s="649" t="s">
        <v>4918</v>
      </c>
      <c r="P928" s="649" t="s">
        <v>180</v>
      </c>
      <c r="Q928" s="508">
        <v>300</v>
      </c>
      <c r="R928" s="415">
        <v>500000</v>
      </c>
      <c r="S928" s="508">
        <v>300000</v>
      </c>
      <c r="T928" s="280">
        <f t="shared" ref="T928:T929" si="237">R928+S928</f>
        <v>800000</v>
      </c>
      <c r="U928" s="266"/>
      <c r="V928" s="266"/>
      <c r="W928" s="266"/>
      <c r="X928" s="266"/>
      <c r="Y928" s="271">
        <v>0.45</v>
      </c>
      <c r="Z928" s="605">
        <f t="shared" si="205"/>
        <v>360000</v>
      </c>
      <c r="AA928" s="266"/>
      <c r="AB928" s="605">
        <f t="shared" si="206"/>
        <v>520000</v>
      </c>
      <c r="AC928" s="607">
        <f t="shared" si="217"/>
        <v>160000</v>
      </c>
      <c r="AD928" s="266"/>
      <c r="AE928" s="266"/>
    </row>
    <row r="929" spans="1:31" s="730" customFormat="1" ht="63" x14ac:dyDescent="0.25">
      <c r="A929" s="731">
        <v>926</v>
      </c>
      <c r="B929" s="718">
        <v>44064</v>
      </c>
      <c r="C929" s="719" t="s">
        <v>6126</v>
      </c>
      <c r="D929" s="719"/>
      <c r="E929" s="719" t="s">
        <v>3479</v>
      </c>
      <c r="F929" s="720" t="s">
        <v>6127</v>
      </c>
      <c r="G929" s="721"/>
      <c r="H929" s="720" t="s">
        <v>168</v>
      </c>
      <c r="I929" s="719" t="s">
        <v>6128</v>
      </c>
      <c r="J929" s="721"/>
      <c r="K929" s="721" t="s">
        <v>6599</v>
      </c>
      <c r="L929" s="721"/>
      <c r="M929" s="723"/>
      <c r="N929" s="724"/>
      <c r="O929" s="725" t="s">
        <v>4918</v>
      </c>
      <c r="P929" s="725" t="s">
        <v>180</v>
      </c>
      <c r="Q929" s="726">
        <v>300</v>
      </c>
      <c r="R929" s="727">
        <v>500000</v>
      </c>
      <c r="S929" s="726">
        <v>300000</v>
      </c>
      <c r="T929" s="728">
        <f t="shared" si="237"/>
        <v>800000</v>
      </c>
      <c r="U929" s="721"/>
      <c r="V929" s="721"/>
      <c r="W929" s="721"/>
      <c r="X929" s="721"/>
      <c r="Y929" s="721"/>
      <c r="Z929" s="605">
        <f t="shared" si="205"/>
        <v>0</v>
      </c>
      <c r="AA929" s="721"/>
      <c r="AB929" s="729">
        <f t="shared" si="206"/>
        <v>520000</v>
      </c>
      <c r="AC929" s="729">
        <f t="shared" si="217"/>
        <v>520000</v>
      </c>
      <c r="AD929" s="721"/>
      <c r="AE929" s="721"/>
    </row>
    <row r="930" spans="1:31" ht="47.25" x14ac:dyDescent="0.25">
      <c r="A930" s="113">
        <v>927</v>
      </c>
      <c r="B930" s="22">
        <v>44064</v>
      </c>
      <c r="C930" s="148" t="s">
        <v>6130</v>
      </c>
      <c r="D930" s="148"/>
      <c r="E930" s="148" t="s">
        <v>3479</v>
      </c>
      <c r="F930" s="101" t="s">
        <v>6129</v>
      </c>
      <c r="G930" s="10"/>
      <c r="H930" s="101" t="s">
        <v>168</v>
      </c>
      <c r="I930" s="148" t="s">
        <v>6131</v>
      </c>
      <c r="J930" s="10"/>
      <c r="K930" s="10"/>
      <c r="L930" s="19"/>
      <c r="M930" s="13"/>
      <c r="N930" s="249"/>
      <c r="O930" s="19" t="s">
        <v>4483</v>
      </c>
      <c r="P930" s="19"/>
      <c r="Q930" s="19"/>
      <c r="R930" s="13"/>
      <c r="S930" s="19"/>
      <c r="T930" s="19"/>
      <c r="U930" s="19"/>
      <c r="V930" s="19"/>
      <c r="W930" s="19"/>
      <c r="X930" s="19"/>
      <c r="Y930" s="19"/>
      <c r="Z930" s="376">
        <f t="shared" ref="Z930:Z993" si="238">T930*Y930</f>
        <v>0</v>
      </c>
      <c r="AA930" s="19"/>
      <c r="AB930" s="376">
        <f t="shared" si="206"/>
        <v>0</v>
      </c>
      <c r="AC930" s="38">
        <f t="shared" si="217"/>
        <v>0</v>
      </c>
      <c r="AD930" s="19"/>
      <c r="AE930" s="19"/>
    </row>
    <row r="931" spans="1:31" s="272" customFormat="1" ht="47.25" x14ac:dyDescent="0.25">
      <c r="A931" s="74">
        <v>928</v>
      </c>
      <c r="B931" s="373">
        <v>44064</v>
      </c>
      <c r="C931" s="358" t="s">
        <v>5610</v>
      </c>
      <c r="D931" s="358" t="s">
        <v>954</v>
      </c>
      <c r="E931" s="358" t="s">
        <v>309</v>
      </c>
      <c r="F931" s="335" t="s">
        <v>6132</v>
      </c>
      <c r="G931" s="269"/>
      <c r="H931" s="335" t="s">
        <v>273</v>
      </c>
      <c r="I931" s="358" t="s">
        <v>5612</v>
      </c>
      <c r="J931" s="269"/>
      <c r="K931" s="269"/>
      <c r="L931" s="266"/>
      <c r="M931" s="278"/>
      <c r="N931" s="439"/>
      <c r="O931" s="649" t="s">
        <v>4918</v>
      </c>
      <c r="P931" s="649" t="s">
        <v>180</v>
      </c>
      <c r="Q931" s="508">
        <v>300</v>
      </c>
      <c r="R931" s="415">
        <v>500000</v>
      </c>
      <c r="S931" s="508">
        <v>300000</v>
      </c>
      <c r="T931" s="280">
        <f t="shared" ref="T931:T932" si="239">R931+S931</f>
        <v>800000</v>
      </c>
      <c r="U931" s="266"/>
      <c r="V931" s="266"/>
      <c r="W931" s="266"/>
      <c r="X931" s="266"/>
      <c r="Y931" s="271">
        <v>0.35</v>
      </c>
      <c r="Z931" s="605">
        <f t="shared" si="238"/>
        <v>280000</v>
      </c>
      <c r="AA931" s="266"/>
      <c r="AB931" s="605">
        <f t="shared" ref="AB931:AB994" si="240">T931*0.65</f>
        <v>520000</v>
      </c>
      <c r="AC931" s="607">
        <f t="shared" si="217"/>
        <v>240000</v>
      </c>
      <c r="AD931" s="266"/>
      <c r="AE931" s="266"/>
    </row>
    <row r="932" spans="1:31" s="272" customFormat="1" ht="63" x14ac:dyDescent="0.25">
      <c r="A932" s="311">
        <v>929</v>
      </c>
      <c r="B932" s="373">
        <v>44064</v>
      </c>
      <c r="C932" s="358" t="s">
        <v>6133</v>
      </c>
      <c r="D932" s="358"/>
      <c r="E932" s="358" t="s">
        <v>2404</v>
      </c>
      <c r="F932" s="335" t="s">
        <v>6135</v>
      </c>
      <c r="G932" s="269"/>
      <c r="H932" s="335" t="s">
        <v>1177</v>
      </c>
      <c r="I932" s="358" t="s">
        <v>6134</v>
      </c>
      <c r="J932" s="269"/>
      <c r="K932" s="269"/>
      <c r="L932" s="266"/>
      <c r="M932" s="278"/>
      <c r="N932" s="439"/>
      <c r="O932" s="649" t="s">
        <v>6089</v>
      </c>
      <c r="P932" s="649" t="s">
        <v>94</v>
      </c>
      <c r="Q932" s="508">
        <v>1000</v>
      </c>
      <c r="R932" s="415"/>
      <c r="S932" s="508">
        <v>675000</v>
      </c>
      <c r="T932" s="280">
        <f t="shared" si="239"/>
        <v>675000</v>
      </c>
      <c r="U932" s="266"/>
      <c r="V932" s="266"/>
      <c r="W932" s="266"/>
      <c r="X932" s="266"/>
      <c r="Y932" s="271">
        <v>0.4</v>
      </c>
      <c r="Z932" s="605">
        <f t="shared" si="238"/>
        <v>270000</v>
      </c>
      <c r="AA932" s="266"/>
      <c r="AB932" s="605">
        <f t="shared" si="240"/>
        <v>438750</v>
      </c>
      <c r="AC932" s="607">
        <f t="shared" si="217"/>
        <v>168750</v>
      </c>
      <c r="AD932" s="266"/>
      <c r="AE932" s="266"/>
    </row>
    <row r="933" spans="1:31" s="746" customFormat="1" ht="47.25" x14ac:dyDescent="0.25">
      <c r="A933" s="733">
        <v>930</v>
      </c>
      <c r="B933" s="734">
        <v>44064</v>
      </c>
      <c r="C933" s="735" t="s">
        <v>6136</v>
      </c>
      <c r="D933" s="735"/>
      <c r="E933" s="735" t="s">
        <v>3646</v>
      </c>
      <c r="F933" s="736" t="s">
        <v>6138</v>
      </c>
      <c r="G933" s="737"/>
      <c r="H933" s="736" t="s">
        <v>1639</v>
      </c>
      <c r="I933" s="735" t="s">
        <v>6137</v>
      </c>
      <c r="J933" s="737" t="s">
        <v>6139</v>
      </c>
      <c r="K933" s="738" t="s">
        <v>6140</v>
      </c>
      <c r="L933" s="721" t="s">
        <v>6599</v>
      </c>
      <c r="M933" s="739"/>
      <c r="N933" s="740"/>
      <c r="O933" s="741" t="s">
        <v>4918</v>
      </c>
      <c r="P933" s="741" t="s">
        <v>180</v>
      </c>
      <c r="Q933" s="742">
        <v>300</v>
      </c>
      <c r="R933" s="743">
        <v>500000</v>
      </c>
      <c r="S933" s="742">
        <v>300000</v>
      </c>
      <c r="T933" s="744">
        <f t="shared" ref="T933" si="241">R933+S933</f>
        <v>800000</v>
      </c>
      <c r="U933" s="737"/>
      <c r="V933" s="737"/>
      <c r="W933" s="737"/>
      <c r="X933" s="737"/>
      <c r="Y933" s="737"/>
      <c r="Z933" s="376">
        <f t="shared" si="238"/>
        <v>0</v>
      </c>
      <c r="AA933" s="737"/>
      <c r="AB933" s="745">
        <f t="shared" si="240"/>
        <v>520000</v>
      </c>
      <c r="AC933" s="745">
        <f t="shared" si="217"/>
        <v>520000</v>
      </c>
      <c r="AD933" s="737" t="s">
        <v>783</v>
      </c>
      <c r="AE933" s="737"/>
    </row>
    <row r="934" spans="1:31" ht="63" x14ac:dyDescent="0.25">
      <c r="A934" s="74">
        <v>931</v>
      </c>
      <c r="B934" s="22">
        <v>44064</v>
      </c>
      <c r="C934" s="148" t="s">
        <v>6141</v>
      </c>
      <c r="D934" s="148"/>
      <c r="E934" s="148" t="s">
        <v>2404</v>
      </c>
      <c r="F934" s="101" t="s">
        <v>6142</v>
      </c>
      <c r="G934" s="10"/>
      <c r="H934" s="101" t="s">
        <v>1177</v>
      </c>
      <c r="I934" s="148" t="s">
        <v>6143</v>
      </c>
      <c r="J934" s="10">
        <v>976546295</v>
      </c>
      <c r="K934" s="310" t="s">
        <v>6144</v>
      </c>
      <c r="L934" s="19"/>
      <c r="M934" s="13"/>
      <c r="N934" s="249"/>
      <c r="O934" s="19" t="s">
        <v>4483</v>
      </c>
      <c r="P934" s="19"/>
      <c r="Q934" s="19"/>
      <c r="R934" s="13"/>
      <c r="S934" s="19"/>
      <c r="T934" s="19"/>
      <c r="U934" s="19"/>
      <c r="V934" s="19"/>
      <c r="W934" s="19"/>
      <c r="X934" s="19"/>
      <c r="Y934" s="19"/>
      <c r="Z934" s="376">
        <f t="shared" si="238"/>
        <v>0</v>
      </c>
      <c r="AA934" s="19"/>
      <c r="AB934" s="376">
        <f t="shared" si="240"/>
        <v>0</v>
      </c>
      <c r="AC934" s="38">
        <f t="shared" si="217"/>
        <v>0</v>
      </c>
      <c r="AD934" s="19"/>
      <c r="AE934" s="19"/>
    </row>
    <row r="935" spans="1:31" s="272" customFormat="1" ht="47.25" x14ac:dyDescent="0.25">
      <c r="A935" s="311">
        <v>932</v>
      </c>
      <c r="B935" s="373">
        <v>44064</v>
      </c>
      <c r="C935" s="358" t="s">
        <v>6145</v>
      </c>
      <c r="D935" s="358"/>
      <c r="E935" s="358" t="s">
        <v>2404</v>
      </c>
      <c r="F935" s="335" t="s">
        <v>6149</v>
      </c>
      <c r="G935" s="269"/>
      <c r="H935" s="335" t="s">
        <v>659</v>
      </c>
      <c r="I935" s="358" t="s">
        <v>6146</v>
      </c>
      <c r="J935" s="269" t="s">
        <v>6147</v>
      </c>
      <c r="K935" s="269" t="s">
        <v>6148</v>
      </c>
      <c r="L935" s="266"/>
      <c r="M935" s="278"/>
      <c r="N935" s="439"/>
      <c r="O935" s="649" t="s">
        <v>5860</v>
      </c>
      <c r="P935" s="649" t="s">
        <v>180</v>
      </c>
      <c r="Q935" s="508">
        <v>0</v>
      </c>
      <c r="R935" s="415">
        <v>500000</v>
      </c>
      <c r="S935" s="508">
        <v>0</v>
      </c>
      <c r="T935" s="280">
        <f t="shared" ref="T935" si="242">R935+S935</f>
        <v>500000</v>
      </c>
      <c r="U935" s="266"/>
      <c r="V935" s="266"/>
      <c r="W935" s="266"/>
      <c r="X935" s="266"/>
      <c r="Y935" s="271">
        <v>0.4</v>
      </c>
      <c r="Z935" s="605">
        <f t="shared" si="238"/>
        <v>200000</v>
      </c>
      <c r="AA935" s="266"/>
      <c r="AB935" s="605">
        <f t="shared" si="240"/>
        <v>325000</v>
      </c>
      <c r="AC935" s="607">
        <f t="shared" si="217"/>
        <v>125000</v>
      </c>
      <c r="AD935" s="266"/>
      <c r="AE935" s="266"/>
    </row>
    <row r="936" spans="1:31" s="730" customFormat="1" ht="47.25" x14ac:dyDescent="0.25">
      <c r="A936" s="733">
        <v>933</v>
      </c>
      <c r="B936" s="718">
        <v>44064</v>
      </c>
      <c r="C936" s="719" t="s">
        <v>6150</v>
      </c>
      <c r="D936" s="719"/>
      <c r="E936" s="719" t="s">
        <v>2404</v>
      </c>
      <c r="F936" s="720" t="s">
        <v>6152</v>
      </c>
      <c r="G936" s="721"/>
      <c r="H936" s="720" t="s">
        <v>273</v>
      </c>
      <c r="I936" s="719" t="s">
        <v>6151</v>
      </c>
      <c r="J936" s="721"/>
      <c r="K936" s="721"/>
      <c r="L936" s="721"/>
      <c r="M936" s="723"/>
      <c r="N936" s="724"/>
      <c r="O936" s="725" t="s">
        <v>5860</v>
      </c>
      <c r="P936" s="725" t="s">
        <v>180</v>
      </c>
      <c r="Q936" s="726">
        <v>0</v>
      </c>
      <c r="R936" s="727">
        <v>500000</v>
      </c>
      <c r="S936" s="726">
        <v>0</v>
      </c>
      <c r="T936" s="728">
        <f t="shared" ref="T936" si="243">R936+S936</f>
        <v>500000</v>
      </c>
      <c r="U936" s="721"/>
      <c r="V936" s="721"/>
      <c r="W936" s="721"/>
      <c r="X936" s="721"/>
      <c r="Y936" s="732">
        <v>0.4</v>
      </c>
      <c r="Z936" s="605">
        <f t="shared" si="238"/>
        <v>200000</v>
      </c>
      <c r="AA936" s="721"/>
      <c r="AB936" s="729">
        <f t="shared" si="240"/>
        <v>325000</v>
      </c>
      <c r="AC936" s="729">
        <f t="shared" si="217"/>
        <v>125000</v>
      </c>
      <c r="AD936" s="721"/>
      <c r="AE936" s="721"/>
    </row>
    <row r="937" spans="1:31" ht="47.25" x14ac:dyDescent="0.25">
      <c r="A937" s="74">
        <v>934</v>
      </c>
      <c r="B937" s="22">
        <v>44064</v>
      </c>
      <c r="C937" s="148" t="s">
        <v>6153</v>
      </c>
      <c r="D937" s="148"/>
      <c r="E937" s="148" t="s">
        <v>3479</v>
      </c>
      <c r="F937" s="101" t="s">
        <v>6154</v>
      </c>
      <c r="G937" s="10"/>
      <c r="H937" s="101" t="s">
        <v>168</v>
      </c>
      <c r="I937" s="148" t="s">
        <v>6114</v>
      </c>
      <c r="J937" s="10"/>
      <c r="K937" s="10"/>
      <c r="L937" s="19"/>
      <c r="M937" s="13"/>
      <c r="N937" s="249"/>
      <c r="O937" s="19" t="s">
        <v>6155</v>
      </c>
      <c r="P937" s="19"/>
      <c r="Q937" s="19"/>
      <c r="R937" s="13"/>
      <c r="S937" s="19"/>
      <c r="T937" s="19"/>
      <c r="U937" s="19"/>
      <c r="V937" s="19"/>
      <c r="W937" s="19"/>
      <c r="X937" s="19"/>
      <c r="Y937" s="19"/>
      <c r="Z937" s="376">
        <f t="shared" si="238"/>
        <v>0</v>
      </c>
      <c r="AA937" s="19"/>
      <c r="AB937" s="376">
        <f t="shared" si="240"/>
        <v>0</v>
      </c>
      <c r="AC937" s="38">
        <f t="shared" si="217"/>
        <v>0</v>
      </c>
      <c r="AD937" s="19"/>
      <c r="AE937" s="19"/>
    </row>
    <row r="938" spans="1:31" ht="47.25" x14ac:dyDescent="0.25">
      <c r="A938" s="311">
        <v>935</v>
      </c>
      <c r="B938" s="22">
        <v>44064</v>
      </c>
      <c r="C938" s="148" t="s">
        <v>6156</v>
      </c>
      <c r="D938" s="148"/>
      <c r="E938" s="148" t="s">
        <v>2324</v>
      </c>
      <c r="F938" s="101" t="s">
        <v>6158</v>
      </c>
      <c r="G938" s="10"/>
      <c r="H938" s="101" t="s">
        <v>168</v>
      </c>
      <c r="I938" s="148" t="s">
        <v>6157</v>
      </c>
      <c r="J938" s="10"/>
      <c r="K938" s="10"/>
      <c r="L938" s="19"/>
      <c r="M938" s="13"/>
      <c r="N938" s="249"/>
      <c r="O938" s="19" t="s">
        <v>6155</v>
      </c>
      <c r="P938" s="19"/>
      <c r="Q938" s="19"/>
      <c r="R938" s="13"/>
      <c r="S938" s="19"/>
      <c r="T938" s="19"/>
      <c r="U938" s="19"/>
      <c r="V938" s="19"/>
      <c r="W938" s="19"/>
      <c r="X938" s="19"/>
      <c r="Y938" s="19"/>
      <c r="Z938" s="376">
        <f t="shared" si="238"/>
        <v>0</v>
      </c>
      <c r="AA938" s="19"/>
      <c r="AB938" s="376">
        <f t="shared" si="240"/>
        <v>0</v>
      </c>
      <c r="AC938" s="38">
        <f t="shared" si="217"/>
        <v>0</v>
      </c>
      <c r="AD938" s="19"/>
      <c r="AE938" s="19"/>
    </row>
    <row r="939" spans="1:31" ht="63" x14ac:dyDescent="0.25">
      <c r="A939" s="113">
        <v>936</v>
      </c>
      <c r="B939" s="22">
        <v>44064</v>
      </c>
      <c r="C939" s="148" t="s">
        <v>6133</v>
      </c>
      <c r="D939" s="148"/>
      <c r="E939" s="148" t="s">
        <v>2404</v>
      </c>
      <c r="F939" s="101" t="s">
        <v>6135</v>
      </c>
      <c r="G939" s="10"/>
      <c r="H939" s="101" t="s">
        <v>1177</v>
      </c>
      <c r="I939" s="148" t="s">
        <v>6134</v>
      </c>
      <c r="J939" s="10"/>
      <c r="K939" s="10"/>
      <c r="L939" s="19"/>
      <c r="M939" s="13"/>
      <c r="N939" s="249"/>
      <c r="O939" s="19" t="s">
        <v>6155</v>
      </c>
      <c r="P939" s="19"/>
      <c r="Q939" s="19"/>
      <c r="R939" s="13"/>
      <c r="S939" s="19"/>
      <c r="T939" s="19"/>
      <c r="U939" s="19"/>
      <c r="V939" s="19"/>
      <c r="W939" s="19"/>
      <c r="X939" s="19"/>
      <c r="Y939" s="19"/>
      <c r="Z939" s="376">
        <f t="shared" si="238"/>
        <v>0</v>
      </c>
      <c r="AA939" s="19"/>
      <c r="AB939" s="376">
        <f t="shared" si="240"/>
        <v>0</v>
      </c>
      <c r="AC939" s="38">
        <f t="shared" si="217"/>
        <v>0</v>
      </c>
      <c r="AD939" s="19"/>
      <c r="AE939" s="19"/>
    </row>
    <row r="940" spans="1:31" ht="47.25" x14ac:dyDescent="0.25">
      <c r="A940" s="74">
        <v>937</v>
      </c>
      <c r="B940" s="22">
        <v>44064</v>
      </c>
      <c r="C940" s="148" t="s">
        <v>6159</v>
      </c>
      <c r="D940" s="148"/>
      <c r="E940" s="148" t="s">
        <v>2404</v>
      </c>
      <c r="F940" s="101" t="s">
        <v>6160</v>
      </c>
      <c r="G940" s="10"/>
      <c r="H940" s="101" t="s">
        <v>1177</v>
      </c>
      <c r="I940" s="148" t="s">
        <v>6161</v>
      </c>
      <c r="J940" s="10"/>
      <c r="K940" s="10"/>
      <c r="L940" s="19"/>
      <c r="M940" s="13"/>
      <c r="N940" s="249"/>
      <c r="O940" s="19" t="s">
        <v>6155</v>
      </c>
      <c r="P940" s="19"/>
      <c r="Q940" s="19"/>
      <c r="R940" s="13"/>
      <c r="S940" s="19"/>
      <c r="T940" s="19"/>
      <c r="U940" s="19"/>
      <c r="V940" s="19"/>
      <c r="W940" s="19"/>
      <c r="X940" s="19"/>
      <c r="Y940" s="19"/>
      <c r="Z940" s="376">
        <f t="shared" si="238"/>
        <v>0</v>
      </c>
      <c r="AA940" s="19"/>
      <c r="AB940" s="376">
        <f t="shared" si="240"/>
        <v>0</v>
      </c>
      <c r="AC940" s="38">
        <f t="shared" si="217"/>
        <v>0</v>
      </c>
      <c r="AD940" s="19"/>
      <c r="AE940" s="19"/>
    </row>
    <row r="941" spans="1:31" ht="63" x14ac:dyDescent="0.25">
      <c r="A941" s="311">
        <v>938</v>
      </c>
      <c r="B941" s="22">
        <v>44064</v>
      </c>
      <c r="C941" s="148" t="s">
        <v>6162</v>
      </c>
      <c r="D941" s="148"/>
      <c r="E941" s="148" t="s">
        <v>2404</v>
      </c>
      <c r="F941" s="101" t="s">
        <v>6163</v>
      </c>
      <c r="G941" s="10"/>
      <c r="H941" s="101" t="s">
        <v>1177</v>
      </c>
      <c r="I941" s="148" t="s">
        <v>6164</v>
      </c>
      <c r="J941" s="10"/>
      <c r="K941" s="10"/>
      <c r="L941" s="19"/>
      <c r="M941" s="13"/>
      <c r="N941" s="249"/>
      <c r="O941" s="19" t="s">
        <v>6155</v>
      </c>
      <c r="P941" s="19"/>
      <c r="Q941" s="19"/>
      <c r="R941" s="13"/>
      <c r="S941" s="19"/>
      <c r="T941" s="19"/>
      <c r="U941" s="19"/>
      <c r="V941" s="19"/>
      <c r="W941" s="19"/>
      <c r="X941" s="19"/>
      <c r="Y941" s="19"/>
      <c r="Z941" s="376">
        <f t="shared" si="238"/>
        <v>0</v>
      </c>
      <c r="AA941" s="19"/>
      <c r="AB941" s="376">
        <f t="shared" si="240"/>
        <v>0</v>
      </c>
      <c r="AC941" s="38">
        <f t="shared" si="217"/>
        <v>0</v>
      </c>
      <c r="AD941" s="19"/>
      <c r="AE941" s="19"/>
    </row>
    <row r="942" spans="1:31" ht="47.25" x14ac:dyDescent="0.25">
      <c r="A942" s="113">
        <v>939</v>
      </c>
      <c r="B942" s="22">
        <v>44065</v>
      </c>
      <c r="C942" s="148" t="s">
        <v>5571</v>
      </c>
      <c r="D942" s="148"/>
      <c r="E942" s="148" t="s">
        <v>5768</v>
      </c>
      <c r="F942" s="101" t="s">
        <v>5573</v>
      </c>
      <c r="G942" s="10"/>
      <c r="H942" s="101" t="s">
        <v>1177</v>
      </c>
      <c r="I942" s="148" t="s">
        <v>5572</v>
      </c>
      <c r="J942" s="10">
        <v>981791555</v>
      </c>
      <c r="K942" s="208" t="s">
        <v>6165</v>
      </c>
      <c r="L942" s="19"/>
      <c r="M942" s="13"/>
      <c r="N942" s="249"/>
      <c r="O942" s="19" t="s">
        <v>6155</v>
      </c>
      <c r="P942" s="19"/>
      <c r="Q942" s="19"/>
      <c r="R942" s="13"/>
      <c r="S942" s="19"/>
      <c r="T942" s="19"/>
      <c r="U942" s="19"/>
      <c r="V942" s="19"/>
      <c r="W942" s="19"/>
      <c r="X942" s="19"/>
      <c r="Y942" s="19"/>
      <c r="Z942" s="376">
        <f t="shared" si="238"/>
        <v>0</v>
      </c>
      <c r="AA942" s="19"/>
      <c r="AB942" s="376">
        <f t="shared" si="240"/>
        <v>0</v>
      </c>
      <c r="AC942" s="38">
        <f t="shared" si="217"/>
        <v>0</v>
      </c>
      <c r="AD942" s="19"/>
      <c r="AE942" s="19"/>
    </row>
    <row r="943" spans="1:31" ht="47.25" x14ac:dyDescent="0.25">
      <c r="A943" s="74">
        <v>940</v>
      </c>
      <c r="B943" s="22">
        <v>44065</v>
      </c>
      <c r="C943" s="148" t="s">
        <v>6166</v>
      </c>
      <c r="D943" s="148"/>
      <c r="E943" s="148" t="s">
        <v>5768</v>
      </c>
      <c r="F943" s="101" t="s">
        <v>6168</v>
      </c>
      <c r="G943" s="10"/>
      <c r="H943" s="101" t="s">
        <v>168</v>
      </c>
      <c r="I943" s="148" t="s">
        <v>6167</v>
      </c>
      <c r="J943" s="37" t="s">
        <v>6170</v>
      </c>
      <c r="K943" s="208" t="s">
        <v>6169</v>
      </c>
      <c r="L943" s="19"/>
      <c r="M943" s="13"/>
      <c r="N943" s="249"/>
      <c r="O943" s="19" t="s">
        <v>6155</v>
      </c>
      <c r="P943" s="19"/>
      <c r="Q943" s="19"/>
      <c r="R943" s="13"/>
      <c r="S943" s="19"/>
      <c r="T943" s="19"/>
      <c r="U943" s="19"/>
      <c r="V943" s="19"/>
      <c r="W943" s="19"/>
      <c r="X943" s="19"/>
      <c r="Y943" s="19"/>
      <c r="Z943" s="376">
        <f t="shared" si="238"/>
        <v>0</v>
      </c>
      <c r="AA943" s="19"/>
      <c r="AB943" s="376">
        <f t="shared" si="240"/>
        <v>0</v>
      </c>
      <c r="AC943" s="38">
        <f t="shared" si="217"/>
        <v>0</v>
      </c>
      <c r="AD943" s="19"/>
      <c r="AE943" s="19"/>
    </row>
    <row r="944" spans="1:31" s="272" customFormat="1" ht="63" x14ac:dyDescent="0.25">
      <c r="A944" s="311">
        <v>941</v>
      </c>
      <c r="B944" s="373">
        <v>44065</v>
      </c>
      <c r="C944" s="358" t="s">
        <v>6171</v>
      </c>
      <c r="D944" s="358" t="s">
        <v>4402</v>
      </c>
      <c r="E944" s="358" t="s">
        <v>3646</v>
      </c>
      <c r="F944" s="335" t="s">
        <v>6173</v>
      </c>
      <c r="G944" s="269"/>
      <c r="H944" s="335" t="s">
        <v>273</v>
      </c>
      <c r="I944" s="358" t="s">
        <v>6172</v>
      </c>
      <c r="J944" s="269" t="s">
        <v>6174</v>
      </c>
      <c r="K944" s="380" t="s">
        <v>6175</v>
      </c>
      <c r="L944" s="266"/>
      <c r="M944" s="278"/>
      <c r="N944" s="439"/>
      <c r="O944" s="649" t="s">
        <v>5860</v>
      </c>
      <c r="P944" s="649" t="s">
        <v>180</v>
      </c>
      <c r="Q944" s="508">
        <v>0</v>
      </c>
      <c r="R944" s="415">
        <v>500000</v>
      </c>
      <c r="S944" s="508">
        <v>0</v>
      </c>
      <c r="T944" s="280">
        <f t="shared" ref="T944" si="244">R944+S944</f>
        <v>500000</v>
      </c>
      <c r="U944" s="266"/>
      <c r="V944" s="266"/>
      <c r="W944" s="266"/>
      <c r="X944" s="266"/>
      <c r="Y944" s="271">
        <v>0.4</v>
      </c>
      <c r="Z944" s="605">
        <f t="shared" si="238"/>
        <v>200000</v>
      </c>
      <c r="AA944" s="266"/>
      <c r="AB944" s="605">
        <f t="shared" si="240"/>
        <v>325000</v>
      </c>
      <c r="AC944" s="607">
        <f t="shared" si="217"/>
        <v>125000</v>
      </c>
      <c r="AD944" s="266"/>
      <c r="AE944" s="266"/>
    </row>
    <row r="945" spans="1:31" s="272" customFormat="1" ht="47.25" x14ac:dyDescent="0.25">
      <c r="A945" s="113">
        <v>942</v>
      </c>
      <c r="B945" s="373">
        <v>44065</v>
      </c>
      <c r="C945" s="358" t="s">
        <v>6176</v>
      </c>
      <c r="D945" s="358"/>
      <c r="E945" s="358" t="s">
        <v>5768</v>
      </c>
      <c r="F945" s="335" t="s">
        <v>6177</v>
      </c>
      <c r="G945" s="269"/>
      <c r="H945" s="335" t="s">
        <v>168</v>
      </c>
      <c r="I945" s="358" t="s">
        <v>6178</v>
      </c>
      <c r="J945" s="268" t="s">
        <v>6179</v>
      </c>
      <c r="K945" s="380" t="s">
        <v>6180</v>
      </c>
      <c r="L945" s="266"/>
      <c r="M945" s="278"/>
      <c r="N945" s="439"/>
      <c r="O945" s="649" t="s">
        <v>5860</v>
      </c>
      <c r="P945" s="649" t="s">
        <v>180</v>
      </c>
      <c r="Q945" s="508">
        <v>0</v>
      </c>
      <c r="R945" s="415">
        <v>500000</v>
      </c>
      <c r="S945" s="508">
        <v>0</v>
      </c>
      <c r="T945" s="280">
        <f t="shared" ref="T945" si="245">R945+S945</f>
        <v>500000</v>
      </c>
      <c r="U945" s="266"/>
      <c r="V945" s="266"/>
      <c r="W945" s="266"/>
      <c r="X945" s="266"/>
      <c r="Y945" s="271">
        <v>0.35</v>
      </c>
      <c r="Z945" s="605">
        <f t="shared" si="238"/>
        <v>175000</v>
      </c>
      <c r="AA945" s="266"/>
      <c r="AB945" s="605">
        <f t="shared" si="240"/>
        <v>325000</v>
      </c>
      <c r="AC945" s="607">
        <f t="shared" si="217"/>
        <v>150000</v>
      </c>
      <c r="AD945" s="266"/>
      <c r="AE945" s="266"/>
    </row>
    <row r="946" spans="1:31" ht="47.25" x14ac:dyDescent="0.25">
      <c r="A946" s="74">
        <v>943</v>
      </c>
      <c r="B946" s="22">
        <v>44065</v>
      </c>
      <c r="C946" s="148" t="s">
        <v>6181</v>
      </c>
      <c r="D946" s="148"/>
      <c r="E946" s="148" t="s">
        <v>5768</v>
      </c>
      <c r="F946" s="101" t="s">
        <v>6183</v>
      </c>
      <c r="G946" s="10"/>
      <c r="H946" s="101" t="s">
        <v>168</v>
      </c>
      <c r="I946" s="148" t="s">
        <v>6182</v>
      </c>
      <c r="J946" s="10" t="s">
        <v>6184</v>
      </c>
      <c r="K946" s="10" t="s">
        <v>6185</v>
      </c>
      <c r="L946" s="19"/>
      <c r="M946" s="13"/>
      <c r="N946" s="249"/>
      <c r="O946" s="693" t="s">
        <v>5860</v>
      </c>
      <c r="P946" s="693" t="s">
        <v>180</v>
      </c>
      <c r="Q946" s="365">
        <v>0</v>
      </c>
      <c r="R946" s="364">
        <v>500000</v>
      </c>
      <c r="S946" s="365">
        <v>0</v>
      </c>
      <c r="T946" s="219">
        <f t="shared" ref="T946:T947" si="246">R946+S946</f>
        <v>500000</v>
      </c>
      <c r="U946" s="19"/>
      <c r="V946" s="19"/>
      <c r="W946" s="19"/>
      <c r="X946" s="19"/>
      <c r="Y946" s="165">
        <v>0.35</v>
      </c>
      <c r="Z946" s="376">
        <f t="shared" si="238"/>
        <v>175000</v>
      </c>
      <c r="AA946" s="19"/>
      <c r="AB946" s="376">
        <f t="shared" si="240"/>
        <v>325000</v>
      </c>
      <c r="AC946" s="38">
        <f t="shared" si="217"/>
        <v>150000</v>
      </c>
      <c r="AD946" s="19" t="s">
        <v>6186</v>
      </c>
      <c r="AE946" s="19"/>
    </row>
    <row r="947" spans="1:31" s="272" customFormat="1" ht="47.25" x14ac:dyDescent="0.25">
      <c r="A947" s="311">
        <v>944</v>
      </c>
      <c r="B947" s="373">
        <v>44065</v>
      </c>
      <c r="C947" s="358" t="s">
        <v>6187</v>
      </c>
      <c r="D947" s="358"/>
      <c r="E947" s="358" t="s">
        <v>3646</v>
      </c>
      <c r="F947" s="335" t="s">
        <v>6188</v>
      </c>
      <c r="G947" s="269"/>
      <c r="H947" s="335" t="s">
        <v>168</v>
      </c>
      <c r="I947" s="358" t="s">
        <v>6189</v>
      </c>
      <c r="J947" s="498" t="s">
        <v>6190</v>
      </c>
      <c r="K947" s="380" t="s">
        <v>6191</v>
      </c>
      <c r="L947" s="266"/>
      <c r="M947" s="278"/>
      <c r="N947" s="439"/>
      <c r="O947" s="649" t="s">
        <v>4918</v>
      </c>
      <c r="P947" s="649" t="s">
        <v>180</v>
      </c>
      <c r="Q947" s="508">
        <v>300</v>
      </c>
      <c r="R947" s="415">
        <v>500000</v>
      </c>
      <c r="S947" s="508">
        <v>300000</v>
      </c>
      <c r="T947" s="280">
        <f t="shared" si="246"/>
        <v>800000</v>
      </c>
      <c r="U947" s="266"/>
      <c r="V947" s="266"/>
      <c r="W947" s="266"/>
      <c r="X947" s="266"/>
      <c r="Y947" s="271">
        <v>0.35</v>
      </c>
      <c r="Z947" s="605">
        <f t="shared" si="238"/>
        <v>280000</v>
      </c>
      <c r="AA947" s="266"/>
      <c r="AB947" s="605">
        <f t="shared" si="240"/>
        <v>520000</v>
      </c>
      <c r="AC947" s="607">
        <f t="shared" si="217"/>
        <v>240000</v>
      </c>
      <c r="AD947" s="266"/>
      <c r="AE947" s="266"/>
    </row>
    <row r="948" spans="1:31" s="272" customFormat="1" ht="47.25" x14ac:dyDescent="0.25">
      <c r="A948" s="113">
        <v>945</v>
      </c>
      <c r="B948" s="373">
        <v>44065</v>
      </c>
      <c r="C948" s="358" t="s">
        <v>6192</v>
      </c>
      <c r="D948" s="358"/>
      <c r="E948" s="358" t="s">
        <v>3646</v>
      </c>
      <c r="F948" s="335" t="s">
        <v>6193</v>
      </c>
      <c r="G948" s="269"/>
      <c r="H948" s="335" t="s">
        <v>168</v>
      </c>
      <c r="I948" s="358" t="s">
        <v>6194</v>
      </c>
      <c r="J948" s="269" t="s">
        <v>6090</v>
      </c>
      <c r="K948" s="380" t="s">
        <v>6091</v>
      </c>
      <c r="L948" s="266"/>
      <c r="M948" s="278"/>
      <c r="N948" s="439"/>
      <c r="O948" s="649" t="s">
        <v>4918</v>
      </c>
      <c r="P948" s="649" t="s">
        <v>180</v>
      </c>
      <c r="Q948" s="508">
        <v>300</v>
      </c>
      <c r="R948" s="415">
        <v>500000</v>
      </c>
      <c r="S948" s="508">
        <v>300000</v>
      </c>
      <c r="T948" s="280">
        <f t="shared" ref="T948:T949" si="247">R948+S948</f>
        <v>800000</v>
      </c>
      <c r="U948" s="266"/>
      <c r="V948" s="266"/>
      <c r="W948" s="266"/>
      <c r="X948" s="266"/>
      <c r="Y948" s="271">
        <v>0.35</v>
      </c>
      <c r="Z948" s="605">
        <f t="shared" si="238"/>
        <v>280000</v>
      </c>
      <c r="AA948" s="266"/>
      <c r="AB948" s="605">
        <f t="shared" si="240"/>
        <v>520000</v>
      </c>
      <c r="AC948" s="607">
        <f t="shared" si="217"/>
        <v>240000</v>
      </c>
      <c r="AD948" s="266"/>
      <c r="AE948" s="266"/>
    </row>
    <row r="949" spans="1:31" s="272" customFormat="1" ht="63" x14ac:dyDescent="0.25">
      <c r="A949" s="74">
        <v>946</v>
      </c>
      <c r="B949" s="373">
        <v>44065</v>
      </c>
      <c r="C949" s="358" t="s">
        <v>6195</v>
      </c>
      <c r="D949" s="358"/>
      <c r="E949" s="358" t="s">
        <v>5693</v>
      </c>
      <c r="F949" s="335" t="s">
        <v>6197</v>
      </c>
      <c r="G949" s="269"/>
      <c r="H949" s="335" t="s">
        <v>1639</v>
      </c>
      <c r="I949" s="358" t="s">
        <v>6196</v>
      </c>
      <c r="J949" s="269" t="s">
        <v>6198</v>
      </c>
      <c r="K949" s="380" t="s">
        <v>6199</v>
      </c>
      <c r="L949" s="266"/>
      <c r="M949" s="278"/>
      <c r="N949" s="439"/>
      <c r="O949" s="649" t="s">
        <v>5860</v>
      </c>
      <c r="P949" s="649" t="s">
        <v>180</v>
      </c>
      <c r="Q949" s="508">
        <v>0</v>
      </c>
      <c r="R949" s="415">
        <v>500000</v>
      </c>
      <c r="S949" s="508">
        <v>0</v>
      </c>
      <c r="T949" s="280">
        <f t="shared" si="247"/>
        <v>500000</v>
      </c>
      <c r="U949" s="266"/>
      <c r="V949" s="266"/>
      <c r="W949" s="266"/>
      <c r="X949" s="266"/>
      <c r="Y949" s="271">
        <v>0.35</v>
      </c>
      <c r="Z949" s="605">
        <f t="shared" si="238"/>
        <v>175000</v>
      </c>
      <c r="AA949" s="266"/>
      <c r="AB949" s="605">
        <f t="shared" si="240"/>
        <v>325000</v>
      </c>
      <c r="AC949" s="607">
        <f t="shared" si="217"/>
        <v>150000</v>
      </c>
      <c r="AD949" s="266"/>
      <c r="AE949" s="266"/>
    </row>
    <row r="950" spans="1:31" ht="47.25" x14ac:dyDescent="0.25">
      <c r="A950" s="311">
        <v>947</v>
      </c>
      <c r="B950" s="22">
        <v>44065</v>
      </c>
      <c r="C950" s="148" t="s">
        <v>6200</v>
      </c>
      <c r="D950" s="148" t="s">
        <v>3024</v>
      </c>
      <c r="E950" s="148" t="s">
        <v>4753</v>
      </c>
      <c r="F950" s="101" t="s">
        <v>6201</v>
      </c>
      <c r="G950" s="10"/>
      <c r="H950" s="101" t="s">
        <v>1639</v>
      </c>
      <c r="I950" s="148" t="s">
        <v>6202</v>
      </c>
      <c r="J950" s="10"/>
      <c r="K950" s="10"/>
      <c r="L950" s="19"/>
      <c r="M950" s="13"/>
      <c r="N950" s="249"/>
      <c r="O950" s="19" t="s">
        <v>4483</v>
      </c>
      <c r="P950" s="19"/>
      <c r="Q950" s="19"/>
      <c r="R950" s="13"/>
      <c r="S950" s="19"/>
      <c r="T950" s="19"/>
      <c r="U950" s="19"/>
      <c r="V950" s="19"/>
      <c r="W950" s="19"/>
      <c r="X950" s="19"/>
      <c r="Y950" s="19"/>
      <c r="Z950" s="376">
        <f t="shared" si="238"/>
        <v>0</v>
      </c>
      <c r="AA950" s="19"/>
      <c r="AB950" s="376">
        <f t="shared" si="240"/>
        <v>0</v>
      </c>
      <c r="AC950" s="38">
        <f t="shared" si="217"/>
        <v>0</v>
      </c>
      <c r="AD950" s="19"/>
      <c r="AE950" s="19"/>
    </row>
    <row r="951" spans="1:31" ht="47.25" x14ac:dyDescent="0.25">
      <c r="A951" s="113">
        <v>948</v>
      </c>
      <c r="B951" s="22">
        <v>44065</v>
      </c>
      <c r="C951" s="148" t="s">
        <v>6203</v>
      </c>
      <c r="D951" s="148"/>
      <c r="E951" s="148" t="s">
        <v>3646</v>
      </c>
      <c r="F951" s="101" t="s">
        <v>6205</v>
      </c>
      <c r="G951" s="10"/>
      <c r="H951" s="101" t="s">
        <v>168</v>
      </c>
      <c r="I951" s="148" t="s">
        <v>6204</v>
      </c>
      <c r="J951" s="10" t="s">
        <v>6206</v>
      </c>
      <c r="K951" s="310" t="s">
        <v>6207</v>
      </c>
      <c r="L951" s="19"/>
      <c r="M951" s="13"/>
      <c r="N951" s="249"/>
      <c r="O951" s="693" t="s">
        <v>4918</v>
      </c>
      <c r="P951" s="693" t="s">
        <v>180</v>
      </c>
      <c r="Q951" s="365">
        <v>300</v>
      </c>
      <c r="R951" s="364">
        <v>500000</v>
      </c>
      <c r="S951" s="365">
        <v>300000</v>
      </c>
      <c r="T951" s="219">
        <f t="shared" ref="T951" si="248">R951+S951</f>
        <v>800000</v>
      </c>
      <c r="U951" s="19"/>
      <c r="V951" s="19"/>
      <c r="W951" s="19"/>
      <c r="X951" s="19"/>
      <c r="Y951" s="19"/>
      <c r="Z951" s="376">
        <f t="shared" si="238"/>
        <v>0</v>
      </c>
      <c r="AA951" s="19"/>
      <c r="AB951" s="376">
        <f t="shared" si="240"/>
        <v>520000</v>
      </c>
      <c r="AC951" s="38">
        <f t="shared" si="217"/>
        <v>520000</v>
      </c>
      <c r="AD951" s="19" t="s">
        <v>783</v>
      </c>
      <c r="AE951" s="19"/>
    </row>
    <row r="952" spans="1:31" ht="47.25" x14ac:dyDescent="0.25">
      <c r="A952" s="74">
        <v>949</v>
      </c>
      <c r="B952" s="22">
        <v>44065</v>
      </c>
      <c r="C952" s="148" t="s">
        <v>6210</v>
      </c>
      <c r="D952" s="148"/>
      <c r="E952" s="148" t="s">
        <v>2404</v>
      </c>
      <c r="F952" s="101" t="s">
        <v>6208</v>
      </c>
      <c r="G952" s="10"/>
      <c r="H952" s="101" t="s">
        <v>1177</v>
      </c>
      <c r="I952" s="148" t="s">
        <v>6209</v>
      </c>
      <c r="J952" s="37" t="s">
        <v>6212</v>
      </c>
      <c r="K952" s="310" t="s">
        <v>6211</v>
      </c>
      <c r="L952" s="19"/>
      <c r="M952" s="13"/>
      <c r="N952" s="249"/>
      <c r="O952" s="19" t="s">
        <v>4483</v>
      </c>
      <c r="P952" s="19"/>
      <c r="Q952" s="19"/>
      <c r="R952" s="13"/>
      <c r="S952" s="19"/>
      <c r="T952" s="19"/>
      <c r="U952" s="19"/>
      <c r="V952" s="19"/>
      <c r="W952" s="19"/>
      <c r="X952" s="19"/>
      <c r="Y952" s="19"/>
      <c r="Z952" s="376">
        <f t="shared" si="238"/>
        <v>0</v>
      </c>
      <c r="AA952" s="19"/>
      <c r="AB952" s="376">
        <f t="shared" si="240"/>
        <v>0</v>
      </c>
      <c r="AC952" s="38">
        <f t="shared" ref="AC952:AC1015" si="249">AB952-Z952</f>
        <v>0</v>
      </c>
      <c r="AD952" s="19"/>
      <c r="AE952" s="19"/>
    </row>
    <row r="953" spans="1:31" s="272" customFormat="1" ht="47.25" x14ac:dyDescent="0.25">
      <c r="A953" s="311">
        <v>950</v>
      </c>
      <c r="B953" s="373">
        <v>44065</v>
      </c>
      <c r="C953" s="358" t="s">
        <v>6213</v>
      </c>
      <c r="D953" s="358"/>
      <c r="E953" s="358" t="s">
        <v>309</v>
      </c>
      <c r="F953" s="335" t="s">
        <v>6215</v>
      </c>
      <c r="G953" s="269"/>
      <c r="H953" s="335" t="s">
        <v>168</v>
      </c>
      <c r="I953" s="358" t="s">
        <v>6214</v>
      </c>
      <c r="J953" s="269"/>
      <c r="K953" s="269"/>
      <c r="L953" s="266"/>
      <c r="M953" s="278"/>
      <c r="N953" s="439"/>
      <c r="O953" s="649" t="s">
        <v>4918</v>
      </c>
      <c r="P953" s="649" t="s">
        <v>180</v>
      </c>
      <c r="Q953" s="508">
        <v>300</v>
      </c>
      <c r="R953" s="415">
        <v>500000</v>
      </c>
      <c r="S953" s="508">
        <v>300000</v>
      </c>
      <c r="T953" s="280">
        <f t="shared" ref="T953" si="250">R953+S953</f>
        <v>800000</v>
      </c>
      <c r="U953" s="266"/>
      <c r="V953" s="266"/>
      <c r="W953" s="266"/>
      <c r="X953" s="266"/>
      <c r="Y953" s="271">
        <v>0.35</v>
      </c>
      <c r="Z953" s="605">
        <f t="shared" si="238"/>
        <v>280000</v>
      </c>
      <c r="AA953" s="266"/>
      <c r="AB953" s="605">
        <f t="shared" si="240"/>
        <v>520000</v>
      </c>
      <c r="AC953" s="607">
        <f t="shared" si="249"/>
        <v>240000</v>
      </c>
      <c r="AD953" s="266"/>
      <c r="AE953" s="266"/>
    </row>
    <row r="954" spans="1:31" ht="47.25" x14ac:dyDescent="0.25">
      <c r="A954" s="113">
        <v>951</v>
      </c>
      <c r="B954" s="22">
        <v>44065</v>
      </c>
      <c r="C954" s="148" t="s">
        <v>6216</v>
      </c>
      <c r="D954" s="148"/>
      <c r="E954" s="148" t="s">
        <v>2404</v>
      </c>
      <c r="F954" s="101" t="s">
        <v>6218</v>
      </c>
      <c r="G954" s="10"/>
      <c r="H954" s="101" t="s">
        <v>1177</v>
      </c>
      <c r="I954" s="148" t="s">
        <v>6217</v>
      </c>
      <c r="J954" s="10" t="s">
        <v>6220</v>
      </c>
      <c r="K954" s="208" t="s">
        <v>6219</v>
      </c>
      <c r="L954" s="19"/>
      <c r="M954" s="13"/>
      <c r="N954" s="249"/>
      <c r="O954" s="19" t="s">
        <v>4483</v>
      </c>
      <c r="P954" s="19"/>
      <c r="Q954" s="19"/>
      <c r="R954" s="13"/>
      <c r="S954" s="19"/>
      <c r="T954" s="19"/>
      <c r="U954" s="19"/>
      <c r="V954" s="19"/>
      <c r="W954" s="19"/>
      <c r="X954" s="19"/>
      <c r="Y954" s="19"/>
      <c r="Z954" s="376">
        <f t="shared" si="238"/>
        <v>0</v>
      </c>
      <c r="AA954" s="19"/>
      <c r="AB954" s="376">
        <f t="shared" si="240"/>
        <v>0</v>
      </c>
      <c r="AC954" s="38">
        <f t="shared" si="249"/>
        <v>0</v>
      </c>
      <c r="AD954" s="19"/>
      <c r="AE954" s="19"/>
    </row>
    <row r="955" spans="1:31" s="272" customFormat="1" ht="47.25" x14ac:dyDescent="0.25">
      <c r="A955" s="74">
        <v>952</v>
      </c>
      <c r="B955" s="373">
        <v>44065</v>
      </c>
      <c r="C955" s="358" t="s">
        <v>6216</v>
      </c>
      <c r="D955" s="358"/>
      <c r="E955" s="358" t="s">
        <v>2404</v>
      </c>
      <c r="F955" s="335" t="s">
        <v>6218</v>
      </c>
      <c r="G955" s="269"/>
      <c r="H955" s="335" t="s">
        <v>1177</v>
      </c>
      <c r="I955" s="358" t="s">
        <v>6217</v>
      </c>
      <c r="J955" s="269" t="s">
        <v>6220</v>
      </c>
      <c r="K955" s="380" t="s">
        <v>6219</v>
      </c>
      <c r="L955" s="266"/>
      <c r="M955" s="278"/>
      <c r="N955" s="439"/>
      <c r="O955" s="649" t="s">
        <v>4918</v>
      </c>
      <c r="P955" s="649" t="s">
        <v>94</v>
      </c>
      <c r="Q955" s="508">
        <v>300</v>
      </c>
      <c r="R955" s="415"/>
      <c r="S955" s="508">
        <v>300000</v>
      </c>
      <c r="T955" s="280">
        <f t="shared" ref="T955:T956" si="251">R955+S955</f>
        <v>300000</v>
      </c>
      <c r="U955" s="266"/>
      <c r="V955" s="266"/>
      <c r="W955" s="266"/>
      <c r="X955" s="266"/>
      <c r="Y955" s="271">
        <v>0.4</v>
      </c>
      <c r="Z955" s="605">
        <f t="shared" si="238"/>
        <v>120000</v>
      </c>
      <c r="AA955" s="266"/>
      <c r="AB955" s="605">
        <f t="shared" si="240"/>
        <v>195000</v>
      </c>
      <c r="AC955" s="607">
        <f t="shared" si="249"/>
        <v>75000</v>
      </c>
      <c r="AD955" s="266"/>
      <c r="AE955" s="266"/>
    </row>
    <row r="956" spans="1:31" ht="47.25" x14ac:dyDescent="0.25">
      <c r="A956" s="700">
        <v>953</v>
      </c>
      <c r="B956" s="22">
        <v>44065</v>
      </c>
      <c r="C956" s="148" t="s">
        <v>6221</v>
      </c>
      <c r="D956" s="148" t="s">
        <v>6222</v>
      </c>
      <c r="E956" s="148" t="s">
        <v>3646</v>
      </c>
      <c r="F956" s="101" t="s">
        <v>6223</v>
      </c>
      <c r="G956" s="269"/>
      <c r="H956" s="101" t="s">
        <v>1177</v>
      </c>
      <c r="I956" s="148" t="s">
        <v>6224</v>
      </c>
      <c r="J956" s="10"/>
      <c r="K956" s="310" t="s">
        <v>6225</v>
      </c>
      <c r="L956" s="19"/>
      <c r="M956" s="278"/>
      <c r="N956" s="249"/>
      <c r="O956" s="693" t="s">
        <v>4918</v>
      </c>
      <c r="P956" s="693" t="s">
        <v>180</v>
      </c>
      <c r="Q956" s="365">
        <v>300</v>
      </c>
      <c r="R956" s="364">
        <v>500000</v>
      </c>
      <c r="S956" s="365">
        <v>300000</v>
      </c>
      <c r="T956" s="219">
        <f t="shared" si="251"/>
        <v>800000</v>
      </c>
      <c r="U956" s="266"/>
      <c r="V956" s="266"/>
      <c r="W956" s="266"/>
      <c r="X956" s="266"/>
      <c r="Y956" s="165">
        <v>0.4</v>
      </c>
      <c r="Z956" s="376">
        <f t="shared" si="238"/>
        <v>320000</v>
      </c>
      <c r="AA956" s="19"/>
      <c r="AB956" s="376">
        <f t="shared" si="240"/>
        <v>520000</v>
      </c>
      <c r="AC956" s="38">
        <f t="shared" si="249"/>
        <v>200000</v>
      </c>
      <c r="AD956" s="19" t="s">
        <v>783</v>
      </c>
      <c r="AE956" s="19"/>
    </row>
    <row r="957" spans="1:31" ht="47.25" x14ac:dyDescent="0.25">
      <c r="A957" s="113">
        <v>954</v>
      </c>
      <c r="B957" s="22">
        <v>44065</v>
      </c>
      <c r="C957" s="148" t="s">
        <v>6226</v>
      </c>
      <c r="D957" s="148"/>
      <c r="E957" s="148" t="s">
        <v>309</v>
      </c>
      <c r="F957" s="101" t="s">
        <v>6228</v>
      </c>
      <c r="G957" s="10"/>
      <c r="H957" s="101" t="s">
        <v>1639</v>
      </c>
      <c r="I957" s="148" t="s">
        <v>6227</v>
      </c>
      <c r="J957" s="10"/>
      <c r="K957" s="10"/>
      <c r="L957" s="19"/>
      <c r="M957" s="13"/>
      <c r="N957" s="249"/>
      <c r="O957" s="19" t="s">
        <v>4483</v>
      </c>
      <c r="P957" s="19"/>
      <c r="Q957" s="19"/>
      <c r="R957" s="13"/>
      <c r="S957" s="19"/>
      <c r="T957" s="19"/>
      <c r="U957" s="19"/>
      <c r="V957" s="19"/>
      <c r="W957" s="19"/>
      <c r="X957" s="19"/>
      <c r="Y957" s="19"/>
      <c r="Z957" s="376">
        <f t="shared" si="238"/>
        <v>0</v>
      </c>
      <c r="AA957" s="19"/>
      <c r="AB957" s="376">
        <f t="shared" si="240"/>
        <v>0</v>
      </c>
      <c r="AC957" s="38">
        <f t="shared" si="249"/>
        <v>0</v>
      </c>
      <c r="AD957" s="19"/>
      <c r="AE957" s="19"/>
    </row>
    <row r="958" spans="1:31" ht="47.25" x14ac:dyDescent="0.25">
      <c r="A958" s="74">
        <v>955</v>
      </c>
      <c r="B958" s="22">
        <v>44065</v>
      </c>
      <c r="C958" s="148" t="s">
        <v>6229</v>
      </c>
      <c r="D958" s="148" t="s">
        <v>5925</v>
      </c>
      <c r="E958" s="148" t="s">
        <v>3646</v>
      </c>
      <c r="F958" s="101" t="s">
        <v>6230</v>
      </c>
      <c r="G958" s="10"/>
      <c r="H958" s="101" t="s">
        <v>6232</v>
      </c>
      <c r="I958" s="148" t="s">
        <v>6231</v>
      </c>
      <c r="J958" s="10" t="s">
        <v>450</v>
      </c>
      <c r="K958" s="10"/>
      <c r="L958" s="19"/>
      <c r="M958" s="13"/>
      <c r="N958" s="249"/>
      <c r="O958" s="19" t="s">
        <v>4483</v>
      </c>
      <c r="P958" s="19"/>
      <c r="Q958" s="19"/>
      <c r="R958" s="13"/>
      <c r="S958" s="19"/>
      <c r="T958" s="19"/>
      <c r="U958" s="19"/>
      <c r="V958" s="19"/>
      <c r="W958" s="19"/>
      <c r="X958" s="19"/>
      <c r="Y958" s="19"/>
      <c r="Z958" s="376">
        <f t="shared" si="238"/>
        <v>0</v>
      </c>
      <c r="AA958" s="19"/>
      <c r="AB958" s="376">
        <f t="shared" si="240"/>
        <v>0</v>
      </c>
      <c r="AC958" s="38">
        <f t="shared" si="249"/>
        <v>0</v>
      </c>
      <c r="AD958" s="19"/>
      <c r="AE958" s="19"/>
    </row>
    <row r="959" spans="1:31" s="272" customFormat="1" ht="47.25" x14ac:dyDescent="0.25">
      <c r="A959" s="311">
        <v>956</v>
      </c>
      <c r="B959" s="373">
        <v>44065</v>
      </c>
      <c r="C959" s="358" t="s">
        <v>6233</v>
      </c>
      <c r="D959" s="358"/>
      <c r="E959" s="358" t="s">
        <v>3479</v>
      </c>
      <c r="F959" s="335" t="s">
        <v>6235</v>
      </c>
      <c r="G959" s="269"/>
      <c r="H959" s="335" t="s">
        <v>168</v>
      </c>
      <c r="I959" s="358" t="s">
        <v>6234</v>
      </c>
      <c r="J959" s="380" t="s">
        <v>6236</v>
      </c>
      <c r="K959" s="269"/>
      <c r="L959" s="266"/>
      <c r="M959" s="278"/>
      <c r="N959" s="439"/>
      <c r="O959" s="649" t="s">
        <v>4918</v>
      </c>
      <c r="P959" s="649" t="s">
        <v>180</v>
      </c>
      <c r="Q959" s="508">
        <v>300</v>
      </c>
      <c r="R959" s="415">
        <v>500000</v>
      </c>
      <c r="S959" s="508">
        <v>300000</v>
      </c>
      <c r="T959" s="280">
        <f t="shared" ref="T959" si="252">R959+S959</f>
        <v>800000</v>
      </c>
      <c r="U959" s="266"/>
      <c r="V959" s="266"/>
      <c r="W959" s="266"/>
      <c r="X959" s="266"/>
      <c r="Y959" s="271">
        <v>0.4</v>
      </c>
      <c r="Z959" s="605">
        <f t="shared" si="238"/>
        <v>320000</v>
      </c>
      <c r="AA959" s="266"/>
      <c r="AB959" s="605">
        <f t="shared" si="240"/>
        <v>520000</v>
      </c>
      <c r="AC959" s="607">
        <f t="shared" si="249"/>
        <v>200000</v>
      </c>
      <c r="AD959" s="266"/>
      <c r="AE959" s="266"/>
    </row>
    <row r="960" spans="1:31" s="272" customFormat="1" ht="47.25" x14ac:dyDescent="0.25">
      <c r="A960" s="113">
        <v>957</v>
      </c>
      <c r="B960" s="373">
        <v>44065</v>
      </c>
      <c r="C960" s="358" t="s">
        <v>6237</v>
      </c>
      <c r="D960" s="358"/>
      <c r="E960" s="358" t="s">
        <v>3479</v>
      </c>
      <c r="F960" s="335" t="s">
        <v>6239</v>
      </c>
      <c r="G960" s="269"/>
      <c r="H960" s="335" t="s">
        <v>168</v>
      </c>
      <c r="I960" s="358" t="s">
        <v>6238</v>
      </c>
      <c r="J960" s="498" t="s">
        <v>6241</v>
      </c>
      <c r="K960" s="380" t="s">
        <v>6240</v>
      </c>
      <c r="L960" s="266"/>
      <c r="M960" s="278"/>
      <c r="N960" s="439"/>
      <c r="O960" s="649" t="s">
        <v>4918</v>
      </c>
      <c r="P960" s="649" t="s">
        <v>180</v>
      </c>
      <c r="Q960" s="508">
        <v>300</v>
      </c>
      <c r="R960" s="415">
        <v>500000</v>
      </c>
      <c r="S960" s="508">
        <v>300000</v>
      </c>
      <c r="T960" s="280">
        <f t="shared" ref="T960" si="253">R960+S960</f>
        <v>800000</v>
      </c>
      <c r="U960" s="266"/>
      <c r="V960" s="266"/>
      <c r="W960" s="266"/>
      <c r="X960" s="266"/>
      <c r="Y960" s="271">
        <v>0.4</v>
      </c>
      <c r="Z960" s="605">
        <f t="shared" si="238"/>
        <v>320000</v>
      </c>
      <c r="AA960" s="266"/>
      <c r="AB960" s="605">
        <f t="shared" si="240"/>
        <v>520000</v>
      </c>
      <c r="AC960" s="607">
        <f t="shared" si="249"/>
        <v>200000</v>
      </c>
      <c r="AD960" s="266"/>
      <c r="AE960" s="266"/>
    </row>
    <row r="961" spans="1:31" s="272" customFormat="1" ht="47.25" x14ac:dyDescent="0.25">
      <c r="A961" s="74">
        <v>958</v>
      </c>
      <c r="B961" s="373">
        <v>44065</v>
      </c>
      <c r="C961" s="358" t="s">
        <v>6242</v>
      </c>
      <c r="D961" s="358" t="s">
        <v>5925</v>
      </c>
      <c r="E961" s="358"/>
      <c r="F961" s="335" t="s">
        <v>6243</v>
      </c>
      <c r="G961" s="269"/>
      <c r="H961" s="335" t="s">
        <v>168</v>
      </c>
      <c r="I961" s="358" t="s">
        <v>6244</v>
      </c>
      <c r="J961" s="269"/>
      <c r="K961" s="269"/>
      <c r="L961" s="266"/>
      <c r="M961" s="278"/>
      <c r="N961" s="439"/>
      <c r="O961" s="649" t="s">
        <v>4918</v>
      </c>
      <c r="P961" s="649" t="s">
        <v>180</v>
      </c>
      <c r="Q961" s="508">
        <v>300</v>
      </c>
      <c r="R961" s="415">
        <v>500000</v>
      </c>
      <c r="S961" s="508">
        <v>300000</v>
      </c>
      <c r="T961" s="280">
        <f t="shared" ref="T961" si="254">R961+S961</f>
        <v>800000</v>
      </c>
      <c r="U961" s="266"/>
      <c r="V961" s="266"/>
      <c r="W961" s="266"/>
      <c r="X961" s="266"/>
      <c r="Y961" s="271">
        <v>0.4</v>
      </c>
      <c r="Z961" s="605">
        <f t="shared" si="238"/>
        <v>320000</v>
      </c>
      <c r="AA961" s="266"/>
      <c r="AB961" s="605">
        <f t="shared" si="240"/>
        <v>520000</v>
      </c>
      <c r="AC961" s="607">
        <f t="shared" si="249"/>
        <v>200000</v>
      </c>
      <c r="AD961" s="266"/>
      <c r="AE961" s="266"/>
    </row>
    <row r="962" spans="1:31" s="272" customFormat="1" ht="47.25" x14ac:dyDescent="0.25">
      <c r="A962" s="311">
        <v>959</v>
      </c>
      <c r="B962" s="373">
        <v>44065</v>
      </c>
      <c r="C962" s="358" t="s">
        <v>6245</v>
      </c>
      <c r="D962" s="358" t="s">
        <v>5925</v>
      </c>
      <c r="E962" s="358"/>
      <c r="F962" s="335" t="s">
        <v>6247</v>
      </c>
      <c r="G962" s="269"/>
      <c r="H962" s="335" t="s">
        <v>168</v>
      </c>
      <c r="I962" s="358" t="s">
        <v>6246</v>
      </c>
      <c r="J962" s="269"/>
      <c r="K962" s="269"/>
      <c r="L962" s="266"/>
      <c r="M962" s="278"/>
      <c r="N962" s="439"/>
      <c r="O962" s="649" t="s">
        <v>4918</v>
      </c>
      <c r="P962" s="649" t="s">
        <v>180</v>
      </c>
      <c r="Q962" s="508">
        <v>300</v>
      </c>
      <c r="R962" s="415">
        <v>500000</v>
      </c>
      <c r="S962" s="508">
        <v>300000</v>
      </c>
      <c r="T962" s="280">
        <f t="shared" ref="T962" si="255">R962+S962</f>
        <v>800000</v>
      </c>
      <c r="U962" s="266"/>
      <c r="V962" s="266"/>
      <c r="W962" s="266"/>
      <c r="X962" s="266"/>
      <c r="Y962" s="271">
        <v>0.4</v>
      </c>
      <c r="Z962" s="605">
        <f t="shared" si="238"/>
        <v>320000</v>
      </c>
      <c r="AA962" s="266"/>
      <c r="AB962" s="605">
        <f t="shared" si="240"/>
        <v>520000</v>
      </c>
      <c r="AC962" s="607">
        <f t="shared" si="249"/>
        <v>200000</v>
      </c>
      <c r="AD962" s="266"/>
      <c r="AE962" s="266"/>
    </row>
    <row r="963" spans="1:31" s="272" customFormat="1" ht="47.25" x14ac:dyDescent="0.25">
      <c r="A963" s="113">
        <v>960</v>
      </c>
      <c r="B963" s="373">
        <v>44067</v>
      </c>
      <c r="C963" s="358" t="s">
        <v>6248</v>
      </c>
      <c r="D963" s="358"/>
      <c r="E963" s="358" t="s">
        <v>3479</v>
      </c>
      <c r="F963" s="335" t="s">
        <v>6250</v>
      </c>
      <c r="G963" s="269"/>
      <c r="H963" s="335" t="s">
        <v>168</v>
      </c>
      <c r="I963" s="358" t="s">
        <v>6249</v>
      </c>
      <c r="J963" s="269"/>
      <c r="K963" s="269"/>
      <c r="L963" s="266"/>
      <c r="M963" s="278"/>
      <c r="N963" s="439"/>
      <c r="O963" s="649" t="s">
        <v>4918</v>
      </c>
      <c r="P963" s="649" t="s">
        <v>180</v>
      </c>
      <c r="Q963" s="508">
        <v>300</v>
      </c>
      <c r="R963" s="415">
        <v>500000</v>
      </c>
      <c r="S963" s="508">
        <v>300000</v>
      </c>
      <c r="T963" s="280">
        <f t="shared" ref="T963" si="256">R963+S963</f>
        <v>800000</v>
      </c>
      <c r="U963" s="266"/>
      <c r="V963" s="266"/>
      <c r="W963" s="266"/>
      <c r="X963" s="266"/>
      <c r="Y963" s="271">
        <v>0.4</v>
      </c>
      <c r="Z963" s="605">
        <f t="shared" si="238"/>
        <v>320000</v>
      </c>
      <c r="AA963" s="266"/>
      <c r="AB963" s="605">
        <f t="shared" si="240"/>
        <v>520000</v>
      </c>
      <c r="AC963" s="607">
        <f t="shared" si="249"/>
        <v>200000</v>
      </c>
      <c r="AD963" s="266"/>
      <c r="AE963" s="266"/>
    </row>
    <row r="964" spans="1:31" ht="47.25" x14ac:dyDescent="0.25">
      <c r="A964" s="74">
        <v>961</v>
      </c>
      <c r="B964" s="22">
        <v>44067</v>
      </c>
      <c r="C964" s="148" t="s">
        <v>6251</v>
      </c>
      <c r="D964" s="148"/>
      <c r="E964" s="148" t="s">
        <v>3479</v>
      </c>
      <c r="F964" s="101" t="s">
        <v>6253</v>
      </c>
      <c r="G964" s="10"/>
      <c r="H964" s="101" t="s">
        <v>448</v>
      </c>
      <c r="I964" s="148" t="s">
        <v>6252</v>
      </c>
      <c r="J964" s="10" t="s">
        <v>6254</v>
      </c>
      <c r="K964" s="10"/>
      <c r="L964" s="19"/>
      <c r="M964" s="13"/>
      <c r="N964" s="249"/>
      <c r="O964" s="19" t="s">
        <v>6155</v>
      </c>
      <c r="P964" s="19"/>
      <c r="Q964" s="19"/>
      <c r="R964" s="13"/>
      <c r="S964" s="19"/>
      <c r="T964" s="19"/>
      <c r="U964" s="19"/>
      <c r="V964" s="19"/>
      <c r="W964" s="19"/>
      <c r="X964" s="19"/>
      <c r="Y964" s="19"/>
      <c r="Z964" s="376">
        <f t="shared" si="238"/>
        <v>0</v>
      </c>
      <c r="AA964" s="19"/>
      <c r="AB964" s="376">
        <f t="shared" si="240"/>
        <v>0</v>
      </c>
      <c r="AC964" s="38">
        <f t="shared" si="249"/>
        <v>0</v>
      </c>
      <c r="AD964" s="19"/>
      <c r="AE964" s="19"/>
    </row>
    <row r="965" spans="1:31" ht="47.25" x14ac:dyDescent="0.25">
      <c r="A965" s="311">
        <v>962</v>
      </c>
      <c r="B965" s="22">
        <v>44067</v>
      </c>
      <c r="C965" s="148" t="s">
        <v>6255</v>
      </c>
      <c r="D965" s="148"/>
      <c r="E965" s="148" t="s">
        <v>5768</v>
      </c>
      <c r="F965" s="101" t="s">
        <v>6257</v>
      </c>
      <c r="G965" s="10"/>
      <c r="H965" s="101" t="s">
        <v>168</v>
      </c>
      <c r="I965" s="148" t="s">
        <v>6256</v>
      </c>
      <c r="J965" s="10" t="s">
        <v>6258</v>
      </c>
      <c r="K965" s="10" t="s">
        <v>6259</v>
      </c>
      <c r="L965" s="19"/>
      <c r="M965" s="13"/>
      <c r="N965" s="249"/>
      <c r="O965" s="693" t="s">
        <v>4918</v>
      </c>
      <c r="P965" s="693" t="s">
        <v>180</v>
      </c>
      <c r="Q965" s="365">
        <v>300</v>
      </c>
      <c r="R965" s="364">
        <v>500000</v>
      </c>
      <c r="S965" s="365">
        <v>300000</v>
      </c>
      <c r="T965" s="219">
        <f t="shared" ref="T965:T966" si="257">R965+S965</f>
        <v>800000</v>
      </c>
      <c r="U965" s="19"/>
      <c r="V965" s="19"/>
      <c r="W965" s="19"/>
      <c r="X965" s="19"/>
      <c r="Y965" s="165">
        <v>0.4</v>
      </c>
      <c r="Z965" s="376">
        <f t="shared" si="238"/>
        <v>320000</v>
      </c>
      <c r="AA965" s="19"/>
      <c r="AB965" s="376">
        <f t="shared" si="240"/>
        <v>520000</v>
      </c>
      <c r="AC965" s="38">
        <f t="shared" si="249"/>
        <v>200000</v>
      </c>
      <c r="AD965" s="19" t="s">
        <v>6260</v>
      </c>
      <c r="AE965" s="19"/>
    </row>
    <row r="966" spans="1:31" s="272" customFormat="1" ht="47.25" x14ac:dyDescent="0.25">
      <c r="A966" s="113">
        <v>963</v>
      </c>
      <c r="B966" s="373">
        <v>44068</v>
      </c>
      <c r="C966" s="358" t="s">
        <v>6261</v>
      </c>
      <c r="D966" s="358"/>
      <c r="E966" s="358" t="s">
        <v>3479</v>
      </c>
      <c r="F966" s="449" t="s">
        <v>6263</v>
      </c>
      <c r="G966" s="269"/>
      <c r="H966" s="335" t="s">
        <v>168</v>
      </c>
      <c r="I966" s="358" t="s">
        <v>6262</v>
      </c>
      <c r="J966" s="269">
        <v>978379636</v>
      </c>
      <c r="K966" s="380" t="s">
        <v>6264</v>
      </c>
      <c r="L966" s="266"/>
      <c r="M966" s="278"/>
      <c r="N966" s="439"/>
      <c r="O966" s="649" t="s">
        <v>4918</v>
      </c>
      <c r="P966" s="649" t="s">
        <v>180</v>
      </c>
      <c r="Q966" s="508">
        <v>300</v>
      </c>
      <c r="R966" s="415">
        <v>500000</v>
      </c>
      <c r="S966" s="508">
        <v>300000</v>
      </c>
      <c r="T966" s="280">
        <f t="shared" si="257"/>
        <v>800000</v>
      </c>
      <c r="U966" s="266"/>
      <c r="V966" s="266"/>
      <c r="W966" s="266"/>
      <c r="X966" s="266"/>
      <c r="Y966" s="271">
        <v>0.4</v>
      </c>
      <c r="Z966" s="605">
        <f t="shared" si="238"/>
        <v>320000</v>
      </c>
      <c r="AA966" s="266"/>
      <c r="AB966" s="605">
        <f t="shared" si="240"/>
        <v>520000</v>
      </c>
      <c r="AC966" s="607">
        <f t="shared" si="249"/>
        <v>200000</v>
      </c>
      <c r="AD966" s="266"/>
      <c r="AE966" s="266"/>
    </row>
    <row r="967" spans="1:31" ht="47.25" x14ac:dyDescent="0.25">
      <c r="A967" s="74">
        <v>964</v>
      </c>
      <c r="B967" s="22">
        <v>44068</v>
      </c>
      <c r="C967" s="148" t="s">
        <v>6265</v>
      </c>
      <c r="D967" s="148"/>
      <c r="E967" s="148" t="s">
        <v>3479</v>
      </c>
      <c r="F967" s="101" t="s">
        <v>6267</v>
      </c>
      <c r="G967" s="10"/>
      <c r="H967" s="101" t="s">
        <v>168</v>
      </c>
      <c r="I967" s="148" t="s">
        <v>6266</v>
      </c>
      <c r="J967" s="10"/>
      <c r="K967" s="10"/>
      <c r="L967" s="19"/>
      <c r="M967" s="13"/>
      <c r="N967" s="249"/>
      <c r="O967" s="693" t="s">
        <v>6269</v>
      </c>
      <c r="P967" s="693" t="s">
        <v>180</v>
      </c>
      <c r="Q967" s="365">
        <v>5000</v>
      </c>
      <c r="R967" s="364">
        <v>500000</v>
      </c>
      <c r="S967" s="365">
        <v>2250000</v>
      </c>
      <c r="T967" s="219">
        <f t="shared" ref="T967:T969" si="258">R967+S967</f>
        <v>2750000</v>
      </c>
      <c r="U967" s="19"/>
      <c r="V967" s="19"/>
      <c r="W967" s="19"/>
      <c r="X967" s="19"/>
      <c r="Y967" s="19"/>
      <c r="Z967" s="376">
        <f t="shared" si="238"/>
        <v>0</v>
      </c>
      <c r="AA967" s="19"/>
      <c r="AB967" s="376">
        <f t="shared" si="240"/>
        <v>1787500</v>
      </c>
      <c r="AC967" s="38">
        <f t="shared" si="249"/>
        <v>1787500</v>
      </c>
      <c r="AD967" s="19" t="s">
        <v>6268</v>
      </c>
      <c r="AE967" s="19"/>
    </row>
    <row r="968" spans="1:31" ht="47.25" x14ac:dyDescent="0.25">
      <c r="A968" s="311">
        <v>965</v>
      </c>
      <c r="B968" s="22">
        <v>44068</v>
      </c>
      <c r="C968" s="148" t="s">
        <v>6270</v>
      </c>
      <c r="D968" s="148"/>
      <c r="E968" s="148" t="s">
        <v>2404</v>
      </c>
      <c r="F968" s="101" t="s">
        <v>6271</v>
      </c>
      <c r="G968" s="10"/>
      <c r="H968" s="101" t="s">
        <v>1177</v>
      </c>
      <c r="I968" s="148" t="s">
        <v>6272</v>
      </c>
      <c r="J968" s="10" t="s">
        <v>6273</v>
      </c>
      <c r="K968" s="310" t="s">
        <v>6274</v>
      </c>
      <c r="L968" s="19"/>
      <c r="M968" s="13"/>
      <c r="N968" s="249"/>
      <c r="O968" s="693" t="s">
        <v>4918</v>
      </c>
      <c r="P968" s="693" t="s">
        <v>180</v>
      </c>
      <c r="Q968" s="365">
        <v>300</v>
      </c>
      <c r="R968" s="364">
        <v>500000</v>
      </c>
      <c r="S968" s="365">
        <v>300000</v>
      </c>
      <c r="T968" s="219">
        <f t="shared" si="258"/>
        <v>800000</v>
      </c>
      <c r="U968" s="19"/>
      <c r="V968" s="19"/>
      <c r="W968" s="19"/>
      <c r="X968" s="19"/>
      <c r="Y968" s="165">
        <v>0.4</v>
      </c>
      <c r="Z968" s="376">
        <f t="shared" si="238"/>
        <v>320000</v>
      </c>
      <c r="AA968" s="19"/>
      <c r="AB968" s="376">
        <f t="shared" si="240"/>
        <v>520000</v>
      </c>
      <c r="AC968" s="38">
        <f t="shared" si="249"/>
        <v>200000</v>
      </c>
      <c r="AD968" s="19" t="s">
        <v>6275</v>
      </c>
      <c r="AE968" s="19"/>
    </row>
    <row r="969" spans="1:31" s="272" customFormat="1" ht="47.25" x14ac:dyDescent="0.25">
      <c r="A969" s="113">
        <v>966</v>
      </c>
      <c r="B969" s="373">
        <v>44068</v>
      </c>
      <c r="C969" s="358" t="s">
        <v>6276</v>
      </c>
      <c r="D969" s="358" t="s">
        <v>6277</v>
      </c>
      <c r="E969" s="358" t="s">
        <v>3646</v>
      </c>
      <c r="F969" s="335" t="s">
        <v>6282</v>
      </c>
      <c r="G969" s="269"/>
      <c r="H969" s="335" t="s">
        <v>1177</v>
      </c>
      <c r="I969" s="358" t="s">
        <v>6278</v>
      </c>
      <c r="J969" s="269" t="s">
        <v>3531</v>
      </c>
      <c r="K969" s="269"/>
      <c r="L969" s="266"/>
      <c r="M969" s="278"/>
      <c r="N969" s="439"/>
      <c r="O969" s="649" t="s">
        <v>4918</v>
      </c>
      <c r="P969" s="649" t="s">
        <v>180</v>
      </c>
      <c r="Q969" s="508">
        <v>300</v>
      </c>
      <c r="R969" s="415">
        <v>500000</v>
      </c>
      <c r="S969" s="508">
        <v>300000</v>
      </c>
      <c r="T969" s="280">
        <f t="shared" si="258"/>
        <v>800000</v>
      </c>
      <c r="U969" s="266"/>
      <c r="V969" s="266"/>
      <c r="W969" s="266"/>
      <c r="X969" s="266"/>
      <c r="Y969" s="271"/>
      <c r="Z969" s="605">
        <f t="shared" si="238"/>
        <v>0</v>
      </c>
      <c r="AA969" s="266"/>
      <c r="AB969" s="605">
        <f t="shared" si="240"/>
        <v>520000</v>
      </c>
      <c r="AC969" s="607">
        <f t="shared" si="249"/>
        <v>520000</v>
      </c>
      <c r="AD969" s="266"/>
      <c r="AE969" s="266"/>
    </row>
    <row r="970" spans="1:31" s="272" customFormat="1" ht="47.25" x14ac:dyDescent="0.25">
      <c r="A970" s="74">
        <v>967</v>
      </c>
      <c r="B970" s="373">
        <v>44068</v>
      </c>
      <c r="C970" s="358" t="s">
        <v>6279</v>
      </c>
      <c r="D970" s="358" t="s">
        <v>6277</v>
      </c>
      <c r="E970" s="358" t="s">
        <v>3646</v>
      </c>
      <c r="F970" s="335" t="s">
        <v>6280</v>
      </c>
      <c r="G970" s="269"/>
      <c r="H970" s="335" t="s">
        <v>1177</v>
      </c>
      <c r="I970" s="358" t="s">
        <v>6281</v>
      </c>
      <c r="J970" s="269" t="s">
        <v>3531</v>
      </c>
      <c r="K970" s="269"/>
      <c r="L970" s="266"/>
      <c r="M970" s="278"/>
      <c r="N970" s="439"/>
      <c r="O970" s="649" t="s">
        <v>4918</v>
      </c>
      <c r="P970" s="649" t="s">
        <v>180</v>
      </c>
      <c r="Q970" s="508">
        <v>300</v>
      </c>
      <c r="R970" s="415">
        <v>500000</v>
      </c>
      <c r="S970" s="508">
        <v>300000</v>
      </c>
      <c r="T970" s="280">
        <f t="shared" ref="T970" si="259">R970+S970</f>
        <v>800000</v>
      </c>
      <c r="U970" s="266"/>
      <c r="V970" s="266"/>
      <c r="W970" s="266"/>
      <c r="X970" s="266"/>
      <c r="Y970" s="266"/>
      <c r="Z970" s="605">
        <f t="shared" si="238"/>
        <v>0</v>
      </c>
      <c r="AA970" s="266"/>
      <c r="AB970" s="605">
        <f t="shared" si="240"/>
        <v>520000</v>
      </c>
      <c r="AC970" s="607">
        <f t="shared" si="249"/>
        <v>520000</v>
      </c>
      <c r="AD970" s="266"/>
      <c r="AE970" s="266"/>
    </row>
    <row r="971" spans="1:31" s="272" customFormat="1" ht="47.25" x14ac:dyDescent="0.25">
      <c r="A971" s="311">
        <v>968</v>
      </c>
      <c r="B971" s="373">
        <v>44068</v>
      </c>
      <c r="C971" s="358" t="s">
        <v>6284</v>
      </c>
      <c r="D971" s="358" t="s">
        <v>1907</v>
      </c>
      <c r="E971" s="358" t="s">
        <v>3646</v>
      </c>
      <c r="F971" s="335" t="s">
        <v>6283</v>
      </c>
      <c r="G971" s="269"/>
      <c r="H971" s="335" t="s">
        <v>1639</v>
      </c>
      <c r="I971" s="358" t="s">
        <v>6285</v>
      </c>
      <c r="J971" s="269">
        <v>987772826</v>
      </c>
      <c r="K971" s="269"/>
      <c r="L971" s="266"/>
      <c r="M971" s="278"/>
      <c r="N971" s="439"/>
      <c r="O971" s="649" t="s">
        <v>4918</v>
      </c>
      <c r="P971" s="649" t="s">
        <v>180</v>
      </c>
      <c r="Q971" s="508">
        <v>300</v>
      </c>
      <c r="R971" s="415">
        <v>500000</v>
      </c>
      <c r="S971" s="508">
        <v>300000</v>
      </c>
      <c r="T971" s="280">
        <f t="shared" ref="T971" si="260">R971+S971</f>
        <v>800000</v>
      </c>
      <c r="U971" s="266"/>
      <c r="V971" s="266"/>
      <c r="W971" s="266"/>
      <c r="X971" s="266"/>
      <c r="Y971" s="271">
        <v>0.4</v>
      </c>
      <c r="Z971" s="605">
        <f t="shared" si="238"/>
        <v>320000</v>
      </c>
      <c r="AA971" s="266"/>
      <c r="AB971" s="605">
        <f t="shared" si="240"/>
        <v>520000</v>
      </c>
      <c r="AC971" s="607">
        <f t="shared" si="249"/>
        <v>200000</v>
      </c>
      <c r="AD971" s="266"/>
      <c r="AE971" s="266"/>
    </row>
    <row r="972" spans="1:31" s="272" customFormat="1" ht="47.25" x14ac:dyDescent="0.25">
      <c r="A972" s="113">
        <v>969</v>
      </c>
      <c r="B972" s="373">
        <v>44068</v>
      </c>
      <c r="C972" s="358" t="s">
        <v>6286</v>
      </c>
      <c r="D972" s="358" t="s">
        <v>6277</v>
      </c>
      <c r="E972" s="358" t="s">
        <v>3646</v>
      </c>
      <c r="F972" s="335" t="s">
        <v>6287</v>
      </c>
      <c r="G972" s="269"/>
      <c r="H972" s="335" t="s">
        <v>322</v>
      </c>
      <c r="I972" s="358" t="s">
        <v>6288</v>
      </c>
      <c r="J972" s="269" t="s">
        <v>3531</v>
      </c>
      <c r="K972" s="269"/>
      <c r="L972" s="266"/>
      <c r="M972" s="278"/>
      <c r="N972" s="439"/>
      <c r="O972" s="649" t="s">
        <v>5963</v>
      </c>
      <c r="P972" s="649" t="s">
        <v>180</v>
      </c>
      <c r="Q972" s="508">
        <v>1000</v>
      </c>
      <c r="R972" s="415">
        <v>500000</v>
      </c>
      <c r="S972" s="508">
        <v>675000</v>
      </c>
      <c r="T972" s="280">
        <f t="shared" ref="T972" si="261">R972+S972</f>
        <v>1175000</v>
      </c>
      <c r="U972" s="266"/>
      <c r="V972" s="266"/>
      <c r="W972" s="266"/>
      <c r="X972" s="266"/>
      <c r="Y972" s="266"/>
      <c r="Z972" s="605">
        <f t="shared" si="238"/>
        <v>0</v>
      </c>
      <c r="AA972" s="266"/>
      <c r="AB972" s="605">
        <f t="shared" si="240"/>
        <v>763750</v>
      </c>
      <c r="AC972" s="607">
        <f t="shared" si="249"/>
        <v>763750</v>
      </c>
      <c r="AD972" s="266"/>
      <c r="AE972" s="266"/>
    </row>
    <row r="973" spans="1:31" s="272" customFormat="1" ht="47.25" x14ac:dyDescent="0.25">
      <c r="A973" s="74">
        <v>970</v>
      </c>
      <c r="B973" s="373">
        <v>44068</v>
      </c>
      <c r="C973" s="358" t="s">
        <v>6289</v>
      </c>
      <c r="D973" s="358" t="s">
        <v>6277</v>
      </c>
      <c r="E973" s="358" t="s">
        <v>3646</v>
      </c>
      <c r="F973" s="335" t="s">
        <v>6290</v>
      </c>
      <c r="G973" s="269"/>
      <c r="H973" s="335" t="s">
        <v>322</v>
      </c>
      <c r="I973" s="358" t="s">
        <v>6291</v>
      </c>
      <c r="J973" s="269" t="s">
        <v>3531</v>
      </c>
      <c r="K973" s="269"/>
      <c r="L973" s="266"/>
      <c r="M973" s="278"/>
      <c r="N973" s="439"/>
      <c r="O973" s="649" t="s">
        <v>5963</v>
      </c>
      <c r="P973" s="649" t="s">
        <v>180</v>
      </c>
      <c r="Q973" s="508">
        <v>1000</v>
      </c>
      <c r="R973" s="415">
        <v>500000</v>
      </c>
      <c r="S973" s="508">
        <v>675000</v>
      </c>
      <c r="T973" s="280">
        <f t="shared" ref="T973:T974" si="262">R973+S973</f>
        <v>1175000</v>
      </c>
      <c r="U973" s="266"/>
      <c r="V973" s="266"/>
      <c r="W973" s="266"/>
      <c r="X973" s="266"/>
      <c r="Y973" s="266"/>
      <c r="Z973" s="605">
        <f t="shared" si="238"/>
        <v>0</v>
      </c>
      <c r="AA973" s="266"/>
      <c r="AB973" s="605">
        <f t="shared" si="240"/>
        <v>763750</v>
      </c>
      <c r="AC973" s="607">
        <f t="shared" si="249"/>
        <v>763750</v>
      </c>
      <c r="AD973" s="266"/>
      <c r="AE973" s="266"/>
    </row>
    <row r="974" spans="1:31" s="272" customFormat="1" ht="47.25" x14ac:dyDescent="0.25">
      <c r="A974" s="311">
        <v>971</v>
      </c>
      <c r="B974" s="373">
        <v>44068</v>
      </c>
      <c r="C974" s="358" t="s">
        <v>6294</v>
      </c>
      <c r="D974" s="358"/>
      <c r="E974" s="358" t="s">
        <v>3646</v>
      </c>
      <c r="F974" s="335" t="s">
        <v>6296</v>
      </c>
      <c r="G974" s="269"/>
      <c r="H974" s="335" t="s">
        <v>168</v>
      </c>
      <c r="I974" s="358" t="s">
        <v>6295</v>
      </c>
      <c r="J974" s="269" t="s">
        <v>6292</v>
      </c>
      <c r="K974" s="380" t="s">
        <v>6293</v>
      </c>
      <c r="L974" s="266"/>
      <c r="M974" s="278"/>
      <c r="N974" s="439"/>
      <c r="O974" s="649" t="s">
        <v>4918</v>
      </c>
      <c r="P974" s="649" t="s">
        <v>180</v>
      </c>
      <c r="Q974" s="508">
        <v>300</v>
      </c>
      <c r="R974" s="415">
        <v>500000</v>
      </c>
      <c r="S974" s="508">
        <v>300000</v>
      </c>
      <c r="T974" s="280">
        <f t="shared" si="262"/>
        <v>800000</v>
      </c>
      <c r="U974" s="266"/>
      <c r="V974" s="266"/>
      <c r="W974" s="266"/>
      <c r="X974" s="266"/>
      <c r="Y974" s="266"/>
      <c r="Z974" s="605">
        <f t="shared" si="238"/>
        <v>0</v>
      </c>
      <c r="AA974" s="266"/>
      <c r="AB974" s="605">
        <f t="shared" si="240"/>
        <v>520000</v>
      </c>
      <c r="AC974" s="607">
        <f t="shared" si="249"/>
        <v>520000</v>
      </c>
      <c r="AD974" s="266"/>
      <c r="AE974" s="266"/>
    </row>
    <row r="975" spans="1:31" ht="47.25" x14ac:dyDescent="0.25">
      <c r="A975" s="113">
        <v>972</v>
      </c>
      <c r="B975" s="22">
        <v>44068</v>
      </c>
      <c r="C975" s="148" t="s">
        <v>6297</v>
      </c>
      <c r="D975" s="148"/>
      <c r="E975" s="148" t="s">
        <v>5768</v>
      </c>
      <c r="F975" s="101" t="s">
        <v>6298</v>
      </c>
      <c r="G975" s="10"/>
      <c r="H975" s="101" t="s">
        <v>168</v>
      </c>
      <c r="I975" s="148" t="s">
        <v>6299</v>
      </c>
      <c r="J975" s="10" t="s">
        <v>6300</v>
      </c>
      <c r="K975" s="10"/>
      <c r="L975" s="19"/>
      <c r="M975" s="13"/>
      <c r="N975" s="249"/>
      <c r="O975" s="693" t="s">
        <v>5860</v>
      </c>
      <c r="P975" s="693" t="s">
        <v>180</v>
      </c>
      <c r="Q975" s="365">
        <v>100</v>
      </c>
      <c r="R975" s="364">
        <v>500000</v>
      </c>
      <c r="S975" s="365"/>
      <c r="T975" s="219">
        <f t="shared" ref="T975:T976" si="263">R975+S975</f>
        <v>500000</v>
      </c>
      <c r="U975" s="19"/>
      <c r="V975" s="19"/>
      <c r="W975" s="19"/>
      <c r="X975" s="19"/>
      <c r="Y975" s="19"/>
      <c r="Z975" s="376">
        <f t="shared" si="238"/>
        <v>0</v>
      </c>
      <c r="AA975" s="19"/>
      <c r="AB975" s="376">
        <f t="shared" si="240"/>
        <v>325000</v>
      </c>
      <c r="AC975" s="38">
        <f t="shared" si="249"/>
        <v>325000</v>
      </c>
      <c r="AD975" s="19" t="s">
        <v>6301</v>
      </c>
      <c r="AE975" s="19"/>
    </row>
    <row r="976" spans="1:31" s="272" customFormat="1" ht="47.25" x14ac:dyDescent="0.25">
      <c r="A976" s="74">
        <v>973</v>
      </c>
      <c r="B976" s="373">
        <v>44068</v>
      </c>
      <c r="C976" s="358" t="s">
        <v>6302</v>
      </c>
      <c r="D976" s="358"/>
      <c r="E976" s="358" t="s">
        <v>309</v>
      </c>
      <c r="F976" s="335" t="s">
        <v>6303</v>
      </c>
      <c r="G976" s="269"/>
      <c r="H976" s="335" t="s">
        <v>273</v>
      </c>
      <c r="I976" s="358" t="s">
        <v>6304</v>
      </c>
      <c r="J976" s="269"/>
      <c r="K976" s="269"/>
      <c r="L976" s="266"/>
      <c r="M976" s="278"/>
      <c r="N976" s="439"/>
      <c r="O976" s="649" t="s">
        <v>4918</v>
      </c>
      <c r="P976" s="649" t="s">
        <v>180</v>
      </c>
      <c r="Q976" s="508">
        <v>300</v>
      </c>
      <c r="R976" s="415">
        <v>500000</v>
      </c>
      <c r="S976" s="508">
        <v>300000</v>
      </c>
      <c r="T976" s="280">
        <f t="shared" si="263"/>
        <v>800000</v>
      </c>
      <c r="U976" s="266"/>
      <c r="V976" s="266"/>
      <c r="W976" s="266"/>
      <c r="X976" s="266"/>
      <c r="Y976" s="271">
        <v>0.35</v>
      </c>
      <c r="Z976" s="605">
        <f t="shared" si="238"/>
        <v>280000</v>
      </c>
      <c r="AA976" s="266"/>
      <c r="AB976" s="605">
        <f t="shared" si="240"/>
        <v>520000</v>
      </c>
      <c r="AC976" s="607">
        <f t="shared" si="249"/>
        <v>240000</v>
      </c>
      <c r="AD976" s="266"/>
      <c r="AE976" s="266"/>
    </row>
    <row r="977" spans="1:31" ht="47.25" x14ac:dyDescent="0.25">
      <c r="A977" s="311">
        <v>974</v>
      </c>
      <c r="B977" s="22">
        <v>44069</v>
      </c>
      <c r="C977" s="148" t="s">
        <v>6305</v>
      </c>
      <c r="D977" s="148"/>
      <c r="E977" s="148" t="s">
        <v>3479</v>
      </c>
      <c r="F977" s="101" t="s">
        <v>6307</v>
      </c>
      <c r="G977" s="10"/>
      <c r="H977" s="101" t="s">
        <v>168</v>
      </c>
      <c r="I977" s="148" t="s">
        <v>6306</v>
      </c>
      <c r="J977" s="10" t="s">
        <v>6308</v>
      </c>
      <c r="K977" s="10"/>
      <c r="L977" s="19"/>
      <c r="M977" s="13"/>
      <c r="N977" s="249"/>
      <c r="O977" s="693" t="s">
        <v>4918</v>
      </c>
      <c r="P977" s="693" t="s">
        <v>180</v>
      </c>
      <c r="Q977" s="365">
        <v>300</v>
      </c>
      <c r="R977" s="364">
        <v>500000</v>
      </c>
      <c r="S977" s="365">
        <v>300000</v>
      </c>
      <c r="T977" s="219">
        <f t="shared" ref="T977:T979" si="264">R977+S977</f>
        <v>800000</v>
      </c>
      <c r="U977" s="19"/>
      <c r="V977" s="19"/>
      <c r="W977" s="19"/>
      <c r="X977" s="19"/>
      <c r="Y977" s="165">
        <v>0.35</v>
      </c>
      <c r="Z977" s="376">
        <f t="shared" si="238"/>
        <v>280000</v>
      </c>
      <c r="AA977" s="19"/>
      <c r="AB977" s="376">
        <f t="shared" si="240"/>
        <v>520000</v>
      </c>
      <c r="AC977" s="38">
        <f t="shared" si="249"/>
        <v>240000</v>
      </c>
      <c r="AD977" s="19" t="s">
        <v>6309</v>
      </c>
      <c r="AE977" s="19"/>
    </row>
    <row r="978" spans="1:31" s="272" customFormat="1" ht="47.25" x14ac:dyDescent="0.25">
      <c r="A978" s="113">
        <v>975</v>
      </c>
      <c r="B978" s="373">
        <v>44069</v>
      </c>
      <c r="C978" s="358" t="s">
        <v>6310</v>
      </c>
      <c r="D978" s="358"/>
      <c r="E978" s="358" t="s">
        <v>3479</v>
      </c>
      <c r="F978" s="335" t="s">
        <v>6311</v>
      </c>
      <c r="G978" s="269"/>
      <c r="H978" s="335" t="s">
        <v>168</v>
      </c>
      <c r="I978" s="358" t="s">
        <v>6312</v>
      </c>
      <c r="J978" s="269" t="s">
        <v>6308</v>
      </c>
      <c r="K978" s="269"/>
      <c r="L978" s="266"/>
      <c r="M978" s="278"/>
      <c r="N978" s="439"/>
      <c r="O978" s="649" t="s">
        <v>4918</v>
      </c>
      <c r="P978" s="649" t="s">
        <v>180</v>
      </c>
      <c r="Q978" s="508">
        <v>300</v>
      </c>
      <c r="R978" s="415">
        <v>500000</v>
      </c>
      <c r="S978" s="508">
        <v>300000</v>
      </c>
      <c r="T978" s="280">
        <f t="shared" si="264"/>
        <v>800000</v>
      </c>
      <c r="U978" s="266"/>
      <c r="V978" s="266"/>
      <c r="W978" s="266"/>
      <c r="X978" s="266"/>
      <c r="Y978" s="271">
        <v>0.35</v>
      </c>
      <c r="Z978" s="605">
        <f t="shared" si="238"/>
        <v>280000</v>
      </c>
      <c r="AA978" s="266"/>
      <c r="AB978" s="605">
        <f t="shared" si="240"/>
        <v>520000</v>
      </c>
      <c r="AC978" s="607">
        <f t="shared" si="249"/>
        <v>240000</v>
      </c>
      <c r="AD978" s="266"/>
      <c r="AE978" s="266"/>
    </row>
    <row r="979" spans="1:31" s="272" customFormat="1" ht="47.25" x14ac:dyDescent="0.25">
      <c r="A979" s="74">
        <v>976</v>
      </c>
      <c r="B979" s="373">
        <v>44069</v>
      </c>
      <c r="C979" s="358" t="s">
        <v>6313</v>
      </c>
      <c r="D979" s="358" t="s">
        <v>6314</v>
      </c>
      <c r="E979" s="358" t="s">
        <v>3646</v>
      </c>
      <c r="F979" s="335" t="s">
        <v>6315</v>
      </c>
      <c r="G979" s="269"/>
      <c r="H979" s="335" t="s">
        <v>448</v>
      </c>
      <c r="I979" s="358" t="s">
        <v>6316</v>
      </c>
      <c r="J979" s="269"/>
      <c r="K979" s="269"/>
      <c r="L979" s="266"/>
      <c r="M979" s="278"/>
      <c r="N979" s="439"/>
      <c r="O979" s="266" t="s">
        <v>6317</v>
      </c>
      <c r="P979" s="266" t="s">
        <v>180</v>
      </c>
      <c r="Q979" s="266">
        <v>10000</v>
      </c>
      <c r="R979" s="278">
        <v>500000</v>
      </c>
      <c r="S979" s="266">
        <v>3500000</v>
      </c>
      <c r="T979" s="266">
        <f t="shared" si="264"/>
        <v>4000000</v>
      </c>
      <c r="U979" s="266"/>
      <c r="V979" s="266"/>
      <c r="W979" s="266"/>
      <c r="X979" s="266"/>
      <c r="Y979" s="271">
        <v>0.4</v>
      </c>
      <c r="Z979" s="605">
        <f t="shared" si="238"/>
        <v>1600000</v>
      </c>
      <c r="AA979" s="266"/>
      <c r="AB979" s="605">
        <f t="shared" si="240"/>
        <v>2600000</v>
      </c>
      <c r="AC979" s="607">
        <f t="shared" si="249"/>
        <v>1000000</v>
      </c>
      <c r="AD979" s="266"/>
      <c r="AE979" s="266"/>
    </row>
    <row r="980" spans="1:31" ht="47.25" x14ac:dyDescent="0.25">
      <c r="A980" s="700">
        <v>977</v>
      </c>
      <c r="B980" s="22">
        <v>44069</v>
      </c>
      <c r="C980" s="148" t="s">
        <v>6318</v>
      </c>
      <c r="D980" s="148" t="s">
        <v>6222</v>
      </c>
      <c r="E980" s="148" t="s">
        <v>3646</v>
      </c>
      <c r="F980" s="101" t="s">
        <v>6320</v>
      </c>
      <c r="G980" s="269"/>
      <c r="H980" s="101" t="s">
        <v>1419</v>
      </c>
      <c r="I980" s="148" t="s">
        <v>6319</v>
      </c>
      <c r="J980" s="10" t="s">
        <v>6321</v>
      </c>
      <c r="K980" s="10"/>
      <c r="L980" s="19"/>
      <c r="M980" s="278"/>
      <c r="N980" s="249"/>
      <c r="O980" s="693" t="s">
        <v>4918</v>
      </c>
      <c r="P980" s="693" t="s">
        <v>180</v>
      </c>
      <c r="Q980" s="365">
        <v>300</v>
      </c>
      <c r="R980" s="364">
        <v>500000</v>
      </c>
      <c r="S980" s="365">
        <v>300000</v>
      </c>
      <c r="T980" s="219">
        <f t="shared" ref="T980" si="265">R980+S980</f>
        <v>800000</v>
      </c>
      <c r="U980" s="266"/>
      <c r="V980" s="266"/>
      <c r="W980" s="266"/>
      <c r="X980" s="266"/>
      <c r="Y980" s="165">
        <v>0.4</v>
      </c>
      <c r="Z980" s="376">
        <f t="shared" si="238"/>
        <v>320000</v>
      </c>
      <c r="AA980" s="19"/>
      <c r="AB980" s="376">
        <f t="shared" si="240"/>
        <v>520000</v>
      </c>
      <c r="AC980" s="38">
        <f t="shared" si="249"/>
        <v>200000</v>
      </c>
      <c r="AD980" s="19" t="s">
        <v>6903</v>
      </c>
      <c r="AE980" s="19"/>
    </row>
    <row r="981" spans="1:31" s="272" customFormat="1" ht="63" x14ac:dyDescent="0.25">
      <c r="A981" s="113">
        <v>978</v>
      </c>
      <c r="B981" s="373">
        <v>44069</v>
      </c>
      <c r="C981" s="358" t="s">
        <v>6322</v>
      </c>
      <c r="D981" s="358"/>
      <c r="E981" s="358" t="s">
        <v>309</v>
      </c>
      <c r="F981" s="335" t="s">
        <v>6324</v>
      </c>
      <c r="G981" s="269"/>
      <c r="H981" s="335" t="s">
        <v>168</v>
      </c>
      <c r="I981" s="358" t="s">
        <v>6323</v>
      </c>
      <c r="J981" s="269"/>
      <c r="K981" s="269"/>
      <c r="L981" s="266"/>
      <c r="M981" s="278"/>
      <c r="N981" s="439"/>
      <c r="O981" s="649" t="s">
        <v>4918</v>
      </c>
      <c r="P981" s="649" t="s">
        <v>180</v>
      </c>
      <c r="Q981" s="508">
        <v>300</v>
      </c>
      <c r="R981" s="415">
        <v>500000</v>
      </c>
      <c r="S981" s="508">
        <v>300000</v>
      </c>
      <c r="T981" s="280">
        <f t="shared" ref="T981" si="266">R981+S981</f>
        <v>800000</v>
      </c>
      <c r="U981" s="266"/>
      <c r="V981" s="266"/>
      <c r="W981" s="266"/>
      <c r="X981" s="266"/>
      <c r="Y981" s="271">
        <v>0.35</v>
      </c>
      <c r="Z981" s="605">
        <f t="shared" si="238"/>
        <v>280000</v>
      </c>
      <c r="AA981" s="266"/>
      <c r="AB981" s="605">
        <f t="shared" si="240"/>
        <v>520000</v>
      </c>
      <c r="AC981" s="607">
        <f t="shared" si="249"/>
        <v>240000</v>
      </c>
      <c r="AD981" s="266"/>
      <c r="AE981" s="266"/>
    </row>
    <row r="982" spans="1:31" s="272" customFormat="1" ht="63" x14ac:dyDescent="0.25">
      <c r="A982" s="74">
        <v>979</v>
      </c>
      <c r="B982" s="373">
        <v>44069</v>
      </c>
      <c r="C982" s="358" t="s">
        <v>6325</v>
      </c>
      <c r="D982" s="358"/>
      <c r="E982" s="358" t="s">
        <v>5768</v>
      </c>
      <c r="F982" s="335" t="s">
        <v>6327</v>
      </c>
      <c r="G982" s="269"/>
      <c r="H982" s="335" t="s">
        <v>168</v>
      </c>
      <c r="I982" s="358" t="s">
        <v>6326</v>
      </c>
      <c r="J982" s="269" t="s">
        <v>6328</v>
      </c>
      <c r="K982" s="380" t="s">
        <v>6329</v>
      </c>
      <c r="L982" s="266"/>
      <c r="M982" s="278"/>
      <c r="N982" s="439"/>
      <c r="O982" s="649" t="s">
        <v>4918</v>
      </c>
      <c r="P982" s="649" t="s">
        <v>180</v>
      </c>
      <c r="Q982" s="508">
        <v>300</v>
      </c>
      <c r="R982" s="415">
        <v>500000</v>
      </c>
      <c r="S982" s="508">
        <v>300000</v>
      </c>
      <c r="T982" s="280">
        <f t="shared" ref="T982" si="267">R982+S982</f>
        <v>800000</v>
      </c>
      <c r="U982" s="266"/>
      <c r="V982" s="266"/>
      <c r="W982" s="266"/>
      <c r="X982" s="266"/>
      <c r="Y982" s="271">
        <v>0.35</v>
      </c>
      <c r="Z982" s="605">
        <f t="shared" si="238"/>
        <v>280000</v>
      </c>
      <c r="AA982" s="266"/>
      <c r="AB982" s="605">
        <f t="shared" si="240"/>
        <v>520000</v>
      </c>
      <c r="AC982" s="607">
        <f t="shared" si="249"/>
        <v>240000</v>
      </c>
      <c r="AD982" s="266"/>
      <c r="AE982" s="266"/>
    </row>
    <row r="983" spans="1:31" ht="63" x14ac:dyDescent="0.25">
      <c r="A983" s="311">
        <v>980</v>
      </c>
      <c r="B983" s="22">
        <v>44069</v>
      </c>
      <c r="C983" s="148" t="s">
        <v>6330</v>
      </c>
      <c r="D983" s="148"/>
      <c r="E983" s="148" t="s">
        <v>2404</v>
      </c>
      <c r="F983" s="101" t="s">
        <v>6332</v>
      </c>
      <c r="G983" s="10"/>
      <c r="H983" s="101" t="s">
        <v>1177</v>
      </c>
      <c r="I983" s="148" t="s">
        <v>6331</v>
      </c>
      <c r="J983" s="10" t="s">
        <v>6334</v>
      </c>
      <c r="K983" s="208" t="s">
        <v>6333</v>
      </c>
      <c r="L983" s="19"/>
      <c r="M983" s="13"/>
      <c r="N983" s="249"/>
      <c r="O983" s="19" t="s">
        <v>6155</v>
      </c>
      <c r="P983" s="19"/>
      <c r="Q983" s="19"/>
      <c r="R983" s="13"/>
      <c r="S983" s="19"/>
      <c r="T983" s="19"/>
      <c r="U983" s="19"/>
      <c r="V983" s="19"/>
      <c r="W983" s="19"/>
      <c r="X983" s="19"/>
      <c r="Y983" s="19"/>
      <c r="Z983" s="376">
        <f t="shared" si="238"/>
        <v>0</v>
      </c>
      <c r="AA983" s="19"/>
      <c r="AB983" s="376">
        <f t="shared" si="240"/>
        <v>0</v>
      </c>
      <c r="AC983" s="38">
        <f t="shared" si="249"/>
        <v>0</v>
      </c>
      <c r="AD983" s="19"/>
      <c r="AE983" s="19"/>
    </row>
    <row r="984" spans="1:31" s="272" customFormat="1" ht="47.25" x14ac:dyDescent="0.25">
      <c r="A984" s="113">
        <v>981</v>
      </c>
      <c r="B984" s="373">
        <v>44069</v>
      </c>
      <c r="C984" s="358" t="s">
        <v>6335</v>
      </c>
      <c r="D984" s="358"/>
      <c r="E984" s="358" t="s">
        <v>3479</v>
      </c>
      <c r="F984" s="335" t="s">
        <v>6337</v>
      </c>
      <c r="G984" s="269"/>
      <c r="H984" s="335" t="s">
        <v>168</v>
      </c>
      <c r="I984" s="358" t="s">
        <v>6336</v>
      </c>
      <c r="J984" s="269"/>
      <c r="K984" s="269"/>
      <c r="L984" s="266"/>
      <c r="M984" s="278"/>
      <c r="N984" s="439"/>
      <c r="O984" s="649" t="s">
        <v>4918</v>
      </c>
      <c r="P984" s="649" t="s">
        <v>180</v>
      </c>
      <c r="Q984" s="508">
        <v>300</v>
      </c>
      <c r="R984" s="415">
        <v>500000</v>
      </c>
      <c r="S984" s="508">
        <v>300000</v>
      </c>
      <c r="T984" s="280">
        <f t="shared" ref="T984" si="268">R984+S984</f>
        <v>800000</v>
      </c>
      <c r="U984" s="266"/>
      <c r="V984" s="266"/>
      <c r="W984" s="266"/>
      <c r="X984" s="266"/>
      <c r="Y984" s="271">
        <v>0.35</v>
      </c>
      <c r="Z984" s="605">
        <f t="shared" si="238"/>
        <v>280000</v>
      </c>
      <c r="AA984" s="266"/>
      <c r="AB984" s="605">
        <f t="shared" si="240"/>
        <v>520000</v>
      </c>
      <c r="AC984" s="607">
        <f t="shared" si="249"/>
        <v>240000</v>
      </c>
      <c r="AD984" s="266"/>
      <c r="AE984" s="266"/>
    </row>
    <row r="985" spans="1:31" s="272" customFormat="1" ht="47.25" x14ac:dyDescent="0.25">
      <c r="A985" s="74">
        <v>982</v>
      </c>
      <c r="B985" s="373">
        <v>44069</v>
      </c>
      <c r="C985" s="358" t="s">
        <v>6339</v>
      </c>
      <c r="D985" s="358"/>
      <c r="E985" s="358" t="s">
        <v>3646</v>
      </c>
      <c r="F985" s="335" t="s">
        <v>6338</v>
      </c>
      <c r="G985" s="269"/>
      <c r="H985" s="335" t="s">
        <v>168</v>
      </c>
      <c r="I985" s="358" t="s">
        <v>2946</v>
      </c>
      <c r="J985" s="269" t="s">
        <v>6340</v>
      </c>
      <c r="K985" s="380" t="s">
        <v>6341</v>
      </c>
      <c r="L985" s="266"/>
      <c r="M985" s="278"/>
      <c r="N985" s="439"/>
      <c r="O985" s="649" t="s">
        <v>4959</v>
      </c>
      <c r="P985" s="649" t="s">
        <v>180</v>
      </c>
      <c r="Q985" s="508">
        <v>2000</v>
      </c>
      <c r="R985" s="415">
        <v>500000</v>
      </c>
      <c r="S985" s="508">
        <v>1100000</v>
      </c>
      <c r="T985" s="280">
        <f t="shared" ref="T985:T986" si="269">R985+S985</f>
        <v>1600000</v>
      </c>
      <c r="U985" s="266"/>
      <c r="V985" s="266"/>
      <c r="W985" s="266"/>
      <c r="X985" s="266"/>
      <c r="Y985" s="271">
        <v>0.35</v>
      </c>
      <c r="Z985" s="605">
        <f t="shared" si="238"/>
        <v>560000</v>
      </c>
      <c r="AA985" s="266"/>
      <c r="AB985" s="605">
        <f t="shared" si="240"/>
        <v>1040000</v>
      </c>
      <c r="AC985" s="607">
        <f t="shared" si="249"/>
        <v>480000</v>
      </c>
      <c r="AD985" s="266"/>
      <c r="AE985" s="266"/>
    </row>
    <row r="986" spans="1:31" s="272" customFormat="1" ht="47.25" x14ac:dyDescent="0.25">
      <c r="A986" s="311">
        <v>983</v>
      </c>
      <c r="B986" s="373">
        <v>44069</v>
      </c>
      <c r="C986" s="358" t="s">
        <v>6342</v>
      </c>
      <c r="D986" s="358"/>
      <c r="E986" s="358" t="s">
        <v>3479</v>
      </c>
      <c r="F986" s="335" t="s">
        <v>6343</v>
      </c>
      <c r="G986" s="269"/>
      <c r="H986" s="335" t="s">
        <v>168</v>
      </c>
      <c r="I986" s="358" t="s">
        <v>6344</v>
      </c>
      <c r="J986" s="269"/>
      <c r="K986" s="380" t="s">
        <v>6345</v>
      </c>
      <c r="L986" s="266"/>
      <c r="M986" s="278"/>
      <c r="N986" s="439"/>
      <c r="O986" s="649" t="s">
        <v>4918</v>
      </c>
      <c r="P986" s="649" t="s">
        <v>180</v>
      </c>
      <c r="Q986" s="508">
        <v>300</v>
      </c>
      <c r="R986" s="415">
        <v>500000</v>
      </c>
      <c r="S986" s="508">
        <v>300000</v>
      </c>
      <c r="T986" s="280">
        <f t="shared" si="269"/>
        <v>800000</v>
      </c>
      <c r="U986" s="266"/>
      <c r="V986" s="266"/>
      <c r="W986" s="266"/>
      <c r="X986" s="266"/>
      <c r="Y986" s="271">
        <v>0.35</v>
      </c>
      <c r="Z986" s="605">
        <f t="shared" si="238"/>
        <v>280000</v>
      </c>
      <c r="AA986" s="266"/>
      <c r="AB986" s="605">
        <f t="shared" si="240"/>
        <v>520000</v>
      </c>
      <c r="AC986" s="607">
        <f t="shared" si="249"/>
        <v>240000</v>
      </c>
      <c r="AD986" s="266"/>
      <c r="AE986" s="266"/>
    </row>
    <row r="987" spans="1:31" ht="47.25" x14ac:dyDescent="0.25">
      <c r="A987" s="113">
        <v>984</v>
      </c>
      <c r="B987" s="22">
        <v>44069</v>
      </c>
      <c r="C987" s="148" t="s">
        <v>6346</v>
      </c>
      <c r="D987" s="148"/>
      <c r="E987" s="148" t="s">
        <v>5693</v>
      </c>
      <c r="F987" s="101" t="s">
        <v>6348</v>
      </c>
      <c r="G987" s="10"/>
      <c r="H987" s="101" t="s">
        <v>1639</v>
      </c>
      <c r="I987" s="148" t="s">
        <v>6347</v>
      </c>
      <c r="J987" s="10"/>
      <c r="K987" s="10"/>
      <c r="L987" s="19"/>
      <c r="M987" s="13"/>
      <c r="N987" s="249"/>
      <c r="O987" s="693" t="s">
        <v>4918</v>
      </c>
      <c r="P987" s="693" t="s">
        <v>180</v>
      </c>
      <c r="Q987" s="365">
        <v>300</v>
      </c>
      <c r="R987" s="364">
        <v>500000</v>
      </c>
      <c r="S987" s="365">
        <v>300000</v>
      </c>
      <c r="T987" s="219">
        <f t="shared" ref="T987:T988" si="270">R987+S987</f>
        <v>800000</v>
      </c>
      <c r="U987" s="19"/>
      <c r="V987" s="19"/>
      <c r="W987" s="19"/>
      <c r="X987" s="19"/>
      <c r="Y987" s="165">
        <v>0.35</v>
      </c>
      <c r="Z987" s="376">
        <f t="shared" si="238"/>
        <v>280000</v>
      </c>
      <c r="AA987" s="19"/>
      <c r="AB987" s="376">
        <f t="shared" si="240"/>
        <v>520000</v>
      </c>
      <c r="AC987" s="38">
        <f t="shared" si="249"/>
        <v>240000</v>
      </c>
      <c r="AD987" s="19" t="s">
        <v>6349</v>
      </c>
      <c r="AE987" s="19"/>
    </row>
    <row r="988" spans="1:31" s="272" customFormat="1" ht="63" x14ac:dyDescent="0.25">
      <c r="A988" s="74">
        <v>985</v>
      </c>
      <c r="B988" s="373">
        <v>44069</v>
      </c>
      <c r="C988" s="358" t="s">
        <v>6350</v>
      </c>
      <c r="D988" s="358"/>
      <c r="E988" s="358" t="s">
        <v>309</v>
      </c>
      <c r="F988" s="335" t="s">
        <v>6352</v>
      </c>
      <c r="G988" s="269"/>
      <c r="H988" s="335" t="s">
        <v>659</v>
      </c>
      <c r="I988" s="358" t="s">
        <v>6351</v>
      </c>
      <c r="J988" s="269"/>
      <c r="K988" s="269"/>
      <c r="L988" s="266"/>
      <c r="M988" s="278"/>
      <c r="N988" s="439"/>
      <c r="O988" s="649" t="s">
        <v>4918</v>
      </c>
      <c r="P988" s="649" t="s">
        <v>180</v>
      </c>
      <c r="Q988" s="508">
        <v>300</v>
      </c>
      <c r="R988" s="415">
        <v>500000</v>
      </c>
      <c r="S988" s="508">
        <v>300000</v>
      </c>
      <c r="T988" s="280">
        <f t="shared" si="270"/>
        <v>800000</v>
      </c>
      <c r="U988" s="266"/>
      <c r="V988" s="266"/>
      <c r="W988" s="266"/>
      <c r="X988" s="266"/>
      <c r="Y988" s="271">
        <v>0.35</v>
      </c>
      <c r="Z988" s="605">
        <f t="shared" si="238"/>
        <v>280000</v>
      </c>
      <c r="AA988" s="266"/>
      <c r="AB988" s="605">
        <f t="shared" si="240"/>
        <v>520000</v>
      </c>
      <c r="AC988" s="607">
        <f t="shared" si="249"/>
        <v>240000</v>
      </c>
      <c r="AD988" s="266"/>
      <c r="AE988" s="266"/>
    </row>
    <row r="989" spans="1:31" ht="47.25" x14ac:dyDescent="0.25">
      <c r="A989" s="311">
        <v>986</v>
      </c>
      <c r="B989" s="22">
        <v>44069</v>
      </c>
      <c r="C989" s="148" t="s">
        <v>6353</v>
      </c>
      <c r="D989" s="148"/>
      <c r="E989" s="148" t="s">
        <v>2404</v>
      </c>
      <c r="F989" s="101" t="s">
        <v>6355</v>
      </c>
      <c r="G989" s="10"/>
      <c r="H989" s="101" t="s">
        <v>1177</v>
      </c>
      <c r="I989" s="148" t="s">
        <v>6354</v>
      </c>
      <c r="J989" s="10"/>
      <c r="K989" s="10"/>
      <c r="L989" s="19"/>
      <c r="M989" s="13"/>
      <c r="N989" s="249"/>
      <c r="O989" s="19" t="s">
        <v>5712</v>
      </c>
      <c r="P989" s="693" t="s">
        <v>180</v>
      </c>
      <c r="Q989" s="365">
        <v>100</v>
      </c>
      <c r="R989" s="364">
        <v>500000</v>
      </c>
      <c r="S989" s="365"/>
      <c r="T989" s="219">
        <f t="shared" ref="T989" si="271">R989+S989</f>
        <v>500000</v>
      </c>
      <c r="U989" s="19"/>
      <c r="V989" s="19"/>
      <c r="W989" s="19"/>
      <c r="X989" s="19"/>
      <c r="Y989" s="165">
        <v>0.4</v>
      </c>
      <c r="Z989" s="376">
        <f t="shared" si="238"/>
        <v>200000</v>
      </c>
      <c r="AA989" s="19"/>
      <c r="AB989" s="376">
        <f t="shared" si="240"/>
        <v>325000</v>
      </c>
      <c r="AC989" s="38">
        <f t="shared" si="249"/>
        <v>125000</v>
      </c>
      <c r="AD989" s="19" t="s">
        <v>1746</v>
      </c>
      <c r="AE989" s="19"/>
    </row>
    <row r="990" spans="1:31" ht="47.25" x14ac:dyDescent="0.25">
      <c r="A990" s="113">
        <v>987</v>
      </c>
      <c r="B990" s="22">
        <v>44069</v>
      </c>
      <c r="C990" s="148" t="s">
        <v>6210</v>
      </c>
      <c r="D990" s="148"/>
      <c r="E990" s="148" t="s">
        <v>2404</v>
      </c>
      <c r="F990" s="101" t="s">
        <v>6208</v>
      </c>
      <c r="G990" s="10"/>
      <c r="H990" s="101" t="s">
        <v>1177</v>
      </c>
      <c r="I990" s="148" t="s">
        <v>6209</v>
      </c>
      <c r="J990" s="10" t="s">
        <v>6356</v>
      </c>
      <c r="K990" s="208" t="s">
        <v>6211</v>
      </c>
      <c r="L990" s="19"/>
      <c r="M990" s="13"/>
      <c r="N990" s="249"/>
      <c r="O990" s="19" t="s">
        <v>6155</v>
      </c>
      <c r="P990" s="19"/>
      <c r="Q990" s="19"/>
      <c r="R990" s="13"/>
      <c r="S990" s="19"/>
      <c r="T990" s="19"/>
      <c r="U990" s="19"/>
      <c r="V990" s="19"/>
      <c r="W990" s="19"/>
      <c r="X990" s="19"/>
      <c r="Y990" s="19"/>
      <c r="Z990" s="376">
        <f t="shared" si="238"/>
        <v>0</v>
      </c>
      <c r="AA990" s="19"/>
      <c r="AB990" s="376">
        <f t="shared" si="240"/>
        <v>0</v>
      </c>
      <c r="AC990" s="38">
        <f t="shared" si="249"/>
        <v>0</v>
      </c>
      <c r="AD990" s="19"/>
      <c r="AE990" s="19"/>
    </row>
    <row r="991" spans="1:31" s="272" customFormat="1" ht="47.25" x14ac:dyDescent="0.25">
      <c r="A991" s="74">
        <v>988</v>
      </c>
      <c r="B991" s="373">
        <v>44069</v>
      </c>
      <c r="C991" s="358" t="s">
        <v>6357</v>
      </c>
      <c r="D991" s="358"/>
      <c r="E991" s="358" t="s">
        <v>3479</v>
      </c>
      <c r="F991" s="335" t="s">
        <v>6358</v>
      </c>
      <c r="G991" s="269"/>
      <c r="H991" s="335" t="s">
        <v>168</v>
      </c>
      <c r="I991" s="358" t="s">
        <v>6359</v>
      </c>
      <c r="J991" s="269">
        <v>914470133</v>
      </c>
      <c r="K991" s="622" t="s">
        <v>6360</v>
      </c>
      <c r="L991" s="622" t="s">
        <v>6360</v>
      </c>
      <c r="M991" s="278"/>
      <c r="N991" s="439"/>
      <c r="O991" s="266" t="s">
        <v>5712</v>
      </c>
      <c r="P991" s="649" t="s">
        <v>180</v>
      </c>
      <c r="Q991" s="508">
        <v>100</v>
      </c>
      <c r="R991" s="415">
        <v>500000</v>
      </c>
      <c r="S991" s="508"/>
      <c r="T991" s="280">
        <f t="shared" ref="T991:T992" si="272">R991+S991</f>
        <v>500000</v>
      </c>
      <c r="U991" s="266"/>
      <c r="V991" s="266"/>
      <c r="W991" s="266"/>
      <c r="X991" s="266"/>
      <c r="Y991" s="271">
        <v>0.35</v>
      </c>
      <c r="Z991" s="605">
        <f t="shared" si="238"/>
        <v>175000</v>
      </c>
      <c r="AA991" s="266"/>
      <c r="AB991" s="605">
        <f t="shared" si="240"/>
        <v>325000</v>
      </c>
      <c r="AC991" s="607">
        <f t="shared" si="249"/>
        <v>150000</v>
      </c>
      <c r="AD991" s="266"/>
      <c r="AE991" s="266"/>
    </row>
    <row r="992" spans="1:31" s="272" customFormat="1" ht="47.25" x14ac:dyDescent="0.25">
      <c r="A992" s="311">
        <v>989</v>
      </c>
      <c r="B992" s="373">
        <v>44069</v>
      </c>
      <c r="C992" s="358" t="s">
        <v>6361</v>
      </c>
      <c r="D992" s="358"/>
      <c r="E992" s="358" t="s">
        <v>2404</v>
      </c>
      <c r="F992" s="335" t="s">
        <v>6362</v>
      </c>
      <c r="G992" s="269"/>
      <c r="H992" s="335" t="s">
        <v>1177</v>
      </c>
      <c r="I992" s="358" t="s">
        <v>6363</v>
      </c>
      <c r="J992" s="269">
        <v>344082690</v>
      </c>
      <c r="K992" s="380" t="s">
        <v>6364</v>
      </c>
      <c r="L992" s="266"/>
      <c r="M992" s="278"/>
      <c r="N992" s="439"/>
      <c r="O992" s="649" t="s">
        <v>4918</v>
      </c>
      <c r="P992" s="649" t="s">
        <v>180</v>
      </c>
      <c r="Q992" s="508">
        <v>300</v>
      </c>
      <c r="R992" s="415">
        <v>500000</v>
      </c>
      <c r="S992" s="508">
        <v>300000</v>
      </c>
      <c r="T992" s="280">
        <f t="shared" si="272"/>
        <v>800000</v>
      </c>
      <c r="U992" s="266"/>
      <c r="V992" s="266"/>
      <c r="W992" s="266"/>
      <c r="X992" s="266"/>
      <c r="Y992" s="271">
        <v>0.4</v>
      </c>
      <c r="Z992" s="605">
        <f t="shared" si="238"/>
        <v>320000</v>
      </c>
      <c r="AA992" s="266"/>
      <c r="AB992" s="605">
        <f t="shared" si="240"/>
        <v>520000</v>
      </c>
      <c r="AC992" s="607">
        <f t="shared" si="249"/>
        <v>200000</v>
      </c>
      <c r="AD992" s="266"/>
      <c r="AE992" s="266"/>
    </row>
    <row r="993" spans="1:31" ht="63" x14ac:dyDescent="0.25">
      <c r="A993" s="113">
        <v>990</v>
      </c>
      <c r="B993" s="22">
        <v>44069</v>
      </c>
      <c r="C993" s="148" t="s">
        <v>6365</v>
      </c>
      <c r="D993" s="148"/>
      <c r="E993" s="148" t="s">
        <v>2404</v>
      </c>
      <c r="F993" s="101" t="s">
        <v>6332</v>
      </c>
      <c r="G993" s="10"/>
      <c r="H993" s="101" t="s">
        <v>1177</v>
      </c>
      <c r="I993" s="148" t="s">
        <v>6331</v>
      </c>
      <c r="J993" s="10" t="s">
        <v>6366</v>
      </c>
      <c r="K993" s="310" t="s">
        <v>6333</v>
      </c>
      <c r="L993" s="19"/>
      <c r="M993" s="13"/>
      <c r="N993" s="249"/>
      <c r="O993" s="19" t="s">
        <v>6155</v>
      </c>
      <c r="P993" s="19"/>
      <c r="Q993" s="19"/>
      <c r="R993" s="13"/>
      <c r="S993" s="19"/>
      <c r="T993" s="19"/>
      <c r="U993" s="19"/>
      <c r="V993" s="19"/>
      <c r="W993" s="19"/>
      <c r="X993" s="19"/>
      <c r="Y993" s="19"/>
      <c r="Z993" s="376">
        <f t="shared" si="238"/>
        <v>0</v>
      </c>
      <c r="AA993" s="19"/>
      <c r="AB993" s="376">
        <f t="shared" si="240"/>
        <v>0</v>
      </c>
      <c r="AC993" s="38">
        <f t="shared" si="249"/>
        <v>0</v>
      </c>
      <c r="AD993" s="19"/>
      <c r="AE993" s="19"/>
    </row>
    <row r="994" spans="1:31" ht="47.25" x14ac:dyDescent="0.25">
      <c r="A994" s="74">
        <v>991</v>
      </c>
      <c r="B994" s="22">
        <v>44069</v>
      </c>
      <c r="C994" s="148" t="s">
        <v>6367</v>
      </c>
      <c r="D994" s="148"/>
      <c r="E994" s="148" t="s">
        <v>3646</v>
      </c>
      <c r="F994" s="101" t="s">
        <v>6369</v>
      </c>
      <c r="G994" s="10"/>
      <c r="H994" s="101" t="s">
        <v>168</v>
      </c>
      <c r="I994" s="148" t="s">
        <v>6368</v>
      </c>
      <c r="J994" s="10">
        <v>983452111</v>
      </c>
      <c r="K994" s="10"/>
      <c r="L994" s="19"/>
      <c r="M994" s="13"/>
      <c r="N994" s="249"/>
      <c r="O994" s="19" t="s">
        <v>6155</v>
      </c>
      <c r="P994" s="19"/>
      <c r="Q994" s="19"/>
      <c r="R994" s="13"/>
      <c r="S994" s="19"/>
      <c r="T994" s="19"/>
      <c r="U994" s="19"/>
      <c r="V994" s="19"/>
      <c r="W994" s="19"/>
      <c r="X994" s="19"/>
      <c r="Y994" s="19"/>
      <c r="Z994" s="376">
        <f t="shared" ref="Z994:Z1059" si="273">T994*Y994</f>
        <v>0</v>
      </c>
      <c r="AA994" s="19"/>
      <c r="AB994" s="376">
        <f t="shared" si="240"/>
        <v>0</v>
      </c>
      <c r="AC994" s="38">
        <f t="shared" si="249"/>
        <v>0</v>
      </c>
      <c r="AD994" s="19"/>
      <c r="AE994" s="19"/>
    </row>
    <row r="995" spans="1:31" s="272" customFormat="1" ht="47.25" x14ac:dyDescent="0.25">
      <c r="A995" s="311">
        <v>992</v>
      </c>
      <c r="B995" s="373">
        <v>44069</v>
      </c>
      <c r="C995" s="358" t="s">
        <v>6372</v>
      </c>
      <c r="D995" s="358" t="s">
        <v>5925</v>
      </c>
      <c r="E995" s="358"/>
      <c r="F995" s="335" t="s">
        <v>6376</v>
      </c>
      <c r="G995" s="269"/>
      <c r="H995" s="335" t="s">
        <v>168</v>
      </c>
      <c r="I995" s="358" t="s">
        <v>6370</v>
      </c>
      <c r="J995" s="269"/>
      <c r="K995" s="269"/>
      <c r="L995" s="266"/>
      <c r="M995" s="278"/>
      <c r="N995" s="439"/>
      <c r="O995" s="266" t="s">
        <v>5712</v>
      </c>
      <c r="P995" s="649" t="s">
        <v>180</v>
      </c>
      <c r="Q995" s="508">
        <v>100</v>
      </c>
      <c r="R995" s="415">
        <v>500000</v>
      </c>
      <c r="S995" s="508"/>
      <c r="T995" s="280">
        <f t="shared" ref="T995:T996" si="274">R995+S995</f>
        <v>500000</v>
      </c>
      <c r="U995" s="266"/>
      <c r="V995" s="266"/>
      <c r="W995" s="266"/>
      <c r="X995" s="266"/>
      <c r="Y995" s="271">
        <v>0.35</v>
      </c>
      <c r="Z995" s="605">
        <f t="shared" si="273"/>
        <v>175000</v>
      </c>
      <c r="AA995" s="266"/>
      <c r="AB995" s="605">
        <f t="shared" ref="AB995:AB1090" si="275">T995*0.65</f>
        <v>325000</v>
      </c>
      <c r="AC995" s="607">
        <f t="shared" si="249"/>
        <v>150000</v>
      </c>
      <c r="AD995" s="266"/>
      <c r="AE995" s="266"/>
    </row>
    <row r="996" spans="1:31" s="272" customFormat="1" ht="47.25" x14ac:dyDescent="0.25">
      <c r="A996" s="113">
        <v>993</v>
      </c>
      <c r="B996" s="373">
        <v>44069</v>
      </c>
      <c r="C996" s="358" t="s">
        <v>6371</v>
      </c>
      <c r="D996" s="358"/>
      <c r="E996" s="358" t="s">
        <v>3646</v>
      </c>
      <c r="F996" s="335" t="s">
        <v>6374</v>
      </c>
      <c r="G996" s="269"/>
      <c r="H996" s="335" t="s">
        <v>1256</v>
      </c>
      <c r="I996" s="358" t="s">
        <v>6373</v>
      </c>
      <c r="J996" s="269" t="s">
        <v>6375</v>
      </c>
      <c r="K996" s="269"/>
      <c r="L996" s="266"/>
      <c r="M996" s="278"/>
      <c r="N996" s="439"/>
      <c r="O996" s="649" t="s">
        <v>4918</v>
      </c>
      <c r="P996" s="649" t="s">
        <v>180</v>
      </c>
      <c r="Q996" s="508">
        <v>300</v>
      </c>
      <c r="R996" s="415">
        <v>500000</v>
      </c>
      <c r="S996" s="508">
        <v>300000</v>
      </c>
      <c r="T996" s="280">
        <f t="shared" si="274"/>
        <v>800000</v>
      </c>
      <c r="U996" s="266"/>
      <c r="V996" s="266"/>
      <c r="W996" s="266"/>
      <c r="X996" s="266"/>
      <c r="Y996" s="266"/>
      <c r="Z996" s="605">
        <f t="shared" si="273"/>
        <v>0</v>
      </c>
      <c r="AA996" s="266"/>
      <c r="AB996" s="605">
        <f t="shared" si="275"/>
        <v>520000</v>
      </c>
      <c r="AC996" s="607">
        <f t="shared" si="249"/>
        <v>520000</v>
      </c>
      <c r="AD996" s="266"/>
      <c r="AE996" s="266"/>
    </row>
    <row r="997" spans="1:31" s="272" customFormat="1" ht="47.25" x14ac:dyDescent="0.25">
      <c r="A997" s="74">
        <v>994</v>
      </c>
      <c r="B997" s="373">
        <v>44069</v>
      </c>
      <c r="C997" s="358" t="s">
        <v>6377</v>
      </c>
      <c r="D997" s="358"/>
      <c r="E997" s="358" t="s">
        <v>2404</v>
      </c>
      <c r="F997" s="335" t="s">
        <v>6379</v>
      </c>
      <c r="G997" s="269"/>
      <c r="H997" s="335" t="s">
        <v>1177</v>
      </c>
      <c r="I997" s="358" t="s">
        <v>6378</v>
      </c>
      <c r="J997" s="269">
        <v>963448599</v>
      </c>
      <c r="K997" s="269"/>
      <c r="L997" s="266"/>
      <c r="M997" s="278"/>
      <c r="N997" s="439"/>
      <c r="O997" s="266" t="s">
        <v>5712</v>
      </c>
      <c r="P997" s="649" t="s">
        <v>180</v>
      </c>
      <c r="Q997" s="508">
        <v>100</v>
      </c>
      <c r="R997" s="415">
        <v>500000</v>
      </c>
      <c r="S997" s="508"/>
      <c r="T997" s="280">
        <f t="shared" ref="T997:T998" si="276">R997+S997</f>
        <v>500000</v>
      </c>
      <c r="U997" s="266"/>
      <c r="V997" s="266"/>
      <c r="W997" s="266"/>
      <c r="X997" s="266"/>
      <c r="Y997" s="271">
        <v>0.4</v>
      </c>
      <c r="Z997" s="605">
        <f t="shared" si="273"/>
        <v>200000</v>
      </c>
      <c r="AA997" s="266"/>
      <c r="AB997" s="605">
        <f t="shared" si="275"/>
        <v>325000</v>
      </c>
      <c r="AC997" s="607">
        <f t="shared" si="249"/>
        <v>125000</v>
      </c>
      <c r="AD997" s="266"/>
      <c r="AE997" s="266"/>
    </row>
    <row r="998" spans="1:31" s="272" customFormat="1" ht="47.25" x14ac:dyDescent="0.25">
      <c r="A998" s="311">
        <v>995</v>
      </c>
      <c r="B998" s="373">
        <v>44069</v>
      </c>
      <c r="C998" s="358" t="s">
        <v>6380</v>
      </c>
      <c r="D998" s="358"/>
      <c r="E998" s="358" t="s">
        <v>3646</v>
      </c>
      <c r="F998" s="335" t="s">
        <v>6381</v>
      </c>
      <c r="G998" s="269"/>
      <c r="H998" s="335" t="s">
        <v>168</v>
      </c>
      <c r="I998" s="358" t="s">
        <v>6382</v>
      </c>
      <c r="J998" s="269">
        <v>936848598</v>
      </c>
      <c r="K998" s="269"/>
      <c r="L998" s="266"/>
      <c r="M998" s="278"/>
      <c r="N998" s="439"/>
      <c r="O998" s="649" t="s">
        <v>4918</v>
      </c>
      <c r="P998" s="649" t="s">
        <v>180</v>
      </c>
      <c r="Q998" s="508">
        <v>300</v>
      </c>
      <c r="R998" s="415">
        <v>500000</v>
      </c>
      <c r="S998" s="508">
        <v>300000</v>
      </c>
      <c r="T998" s="280">
        <f t="shared" si="276"/>
        <v>800000</v>
      </c>
      <c r="U998" s="266"/>
      <c r="V998" s="266"/>
      <c r="W998" s="266"/>
      <c r="X998" s="266"/>
      <c r="Y998" s="271">
        <v>0.35</v>
      </c>
      <c r="Z998" s="605">
        <f t="shared" si="273"/>
        <v>280000</v>
      </c>
      <c r="AA998" s="266"/>
      <c r="AB998" s="605">
        <f t="shared" si="275"/>
        <v>520000</v>
      </c>
      <c r="AC998" s="607">
        <f t="shared" si="249"/>
        <v>240000</v>
      </c>
      <c r="AD998" s="266"/>
      <c r="AE998" s="266"/>
    </row>
    <row r="999" spans="1:31" ht="47.25" x14ac:dyDescent="0.25">
      <c r="A999" s="113">
        <v>996</v>
      </c>
      <c r="B999" s="22">
        <v>44069</v>
      </c>
      <c r="C999" s="148" t="s">
        <v>6383</v>
      </c>
      <c r="D999" s="148"/>
      <c r="E999" s="148" t="s">
        <v>2404</v>
      </c>
      <c r="F999" s="101" t="s">
        <v>6384</v>
      </c>
      <c r="G999" s="10"/>
      <c r="H999" s="101" t="s">
        <v>1177</v>
      </c>
      <c r="I999" s="148" t="s">
        <v>6385</v>
      </c>
      <c r="J999" s="10" t="s">
        <v>6386</v>
      </c>
      <c r="K999" s="310" t="s">
        <v>6387</v>
      </c>
      <c r="L999" s="19"/>
      <c r="M999" s="13"/>
      <c r="N999" s="249"/>
      <c r="O999" s="19" t="s">
        <v>6155</v>
      </c>
      <c r="P999" s="19"/>
      <c r="Q999" s="19"/>
      <c r="R999" s="13"/>
      <c r="S999" s="19"/>
      <c r="T999" s="19"/>
      <c r="U999" s="19"/>
      <c r="V999" s="19"/>
      <c r="W999" s="19"/>
      <c r="X999" s="19"/>
      <c r="Y999" s="19"/>
      <c r="Z999" s="376">
        <f t="shared" si="273"/>
        <v>0</v>
      </c>
      <c r="AA999" s="19"/>
      <c r="AB999" s="376">
        <f t="shared" si="275"/>
        <v>0</v>
      </c>
      <c r="AC999" s="38">
        <f t="shared" si="249"/>
        <v>0</v>
      </c>
      <c r="AD999" s="19"/>
      <c r="AE999" s="19"/>
    </row>
    <row r="1000" spans="1:31" s="272" customFormat="1" ht="47.25" x14ac:dyDescent="0.25">
      <c r="A1000" s="74">
        <v>997</v>
      </c>
      <c r="B1000" s="373">
        <v>44069</v>
      </c>
      <c r="C1000" s="358" t="s">
        <v>6388</v>
      </c>
      <c r="D1000" s="358"/>
      <c r="E1000" s="358" t="s">
        <v>309</v>
      </c>
      <c r="F1000" s="335" t="s">
        <v>6389</v>
      </c>
      <c r="G1000" s="269"/>
      <c r="H1000" s="335" t="s">
        <v>168</v>
      </c>
      <c r="I1000" s="358" t="s">
        <v>6390</v>
      </c>
      <c r="J1000" s="269"/>
      <c r="K1000" s="269"/>
      <c r="L1000" s="266"/>
      <c r="M1000" s="278"/>
      <c r="N1000" s="439"/>
      <c r="O1000" s="649" t="s">
        <v>4918</v>
      </c>
      <c r="P1000" s="649" t="s">
        <v>180</v>
      </c>
      <c r="Q1000" s="508">
        <v>300</v>
      </c>
      <c r="R1000" s="415">
        <v>500000</v>
      </c>
      <c r="S1000" s="508">
        <v>300000</v>
      </c>
      <c r="T1000" s="280">
        <f t="shared" ref="T1000" si="277">R1000+S1000</f>
        <v>800000</v>
      </c>
      <c r="U1000" s="266"/>
      <c r="V1000" s="266"/>
      <c r="W1000" s="266"/>
      <c r="X1000" s="266"/>
      <c r="Y1000" s="271">
        <v>0.35</v>
      </c>
      <c r="Z1000" s="605">
        <f t="shared" si="273"/>
        <v>280000</v>
      </c>
      <c r="AA1000" s="266"/>
      <c r="AB1000" s="605">
        <f t="shared" si="275"/>
        <v>520000</v>
      </c>
      <c r="AC1000" s="607">
        <f t="shared" si="249"/>
        <v>240000</v>
      </c>
      <c r="AD1000" s="266"/>
      <c r="AE1000" s="266"/>
    </row>
    <row r="1001" spans="1:31" s="272" customFormat="1" ht="63" x14ac:dyDescent="0.25">
      <c r="A1001" s="311">
        <v>998</v>
      </c>
      <c r="B1001" s="373">
        <v>44069</v>
      </c>
      <c r="C1001" s="358" t="s">
        <v>6391</v>
      </c>
      <c r="D1001" s="358"/>
      <c r="E1001" s="358" t="s">
        <v>309</v>
      </c>
      <c r="F1001" s="335" t="s">
        <v>6393</v>
      </c>
      <c r="G1001" s="269"/>
      <c r="H1001" s="335" t="s">
        <v>353</v>
      </c>
      <c r="I1001" s="358" t="s">
        <v>6392</v>
      </c>
      <c r="J1001" s="269"/>
      <c r="K1001" s="269"/>
      <c r="L1001" s="266"/>
      <c r="M1001" s="278"/>
      <c r="N1001" s="439"/>
      <c r="O1001" s="649" t="s">
        <v>4918</v>
      </c>
      <c r="P1001" s="649" t="s">
        <v>180</v>
      </c>
      <c r="Q1001" s="508">
        <v>300</v>
      </c>
      <c r="R1001" s="415">
        <v>500000</v>
      </c>
      <c r="S1001" s="508">
        <v>300000</v>
      </c>
      <c r="T1001" s="280">
        <f t="shared" ref="T1001" si="278">R1001+S1001</f>
        <v>800000</v>
      </c>
      <c r="U1001" s="266"/>
      <c r="V1001" s="266"/>
      <c r="W1001" s="266"/>
      <c r="X1001" s="266"/>
      <c r="Y1001" s="271">
        <v>0.35</v>
      </c>
      <c r="Z1001" s="605">
        <f t="shared" si="273"/>
        <v>280000</v>
      </c>
      <c r="AA1001" s="266"/>
      <c r="AB1001" s="605">
        <f t="shared" si="275"/>
        <v>520000</v>
      </c>
      <c r="AC1001" s="607">
        <f t="shared" si="249"/>
        <v>240000</v>
      </c>
      <c r="AD1001" s="266"/>
      <c r="AE1001" s="266"/>
    </row>
    <row r="1002" spans="1:31" s="272" customFormat="1" ht="47.25" x14ac:dyDescent="0.25">
      <c r="A1002" s="698">
        <v>999</v>
      </c>
      <c r="B1002" s="373">
        <v>44069</v>
      </c>
      <c r="C1002" s="358" t="s">
        <v>6394</v>
      </c>
      <c r="D1002" s="358"/>
      <c r="E1002" s="358" t="s">
        <v>309</v>
      </c>
      <c r="F1002" s="335" t="s">
        <v>6396</v>
      </c>
      <c r="G1002" s="269"/>
      <c r="H1002" s="335" t="s">
        <v>1639</v>
      </c>
      <c r="I1002" s="358" t="s">
        <v>6395</v>
      </c>
      <c r="J1002" s="269"/>
      <c r="K1002" s="269"/>
      <c r="L1002" s="266"/>
      <c r="M1002" s="278"/>
      <c r="N1002" s="439"/>
      <c r="O1002" s="649" t="s">
        <v>4918</v>
      </c>
      <c r="P1002" s="649" t="s">
        <v>180</v>
      </c>
      <c r="Q1002" s="508">
        <v>300</v>
      </c>
      <c r="R1002" s="415">
        <v>500000</v>
      </c>
      <c r="S1002" s="508">
        <v>300000</v>
      </c>
      <c r="T1002" s="280">
        <f t="shared" ref="T1002" si="279">R1002+S1002</f>
        <v>800000</v>
      </c>
      <c r="U1002" s="266"/>
      <c r="V1002" s="266"/>
      <c r="W1002" s="266"/>
      <c r="X1002" s="266"/>
      <c r="Y1002" s="271">
        <v>0.35</v>
      </c>
      <c r="Z1002" s="605">
        <f t="shared" si="273"/>
        <v>280000</v>
      </c>
      <c r="AA1002" s="266"/>
      <c r="AB1002" s="605">
        <f t="shared" si="275"/>
        <v>520000</v>
      </c>
      <c r="AC1002" s="607">
        <f t="shared" si="249"/>
        <v>240000</v>
      </c>
      <c r="AD1002" s="266"/>
      <c r="AE1002" s="266"/>
    </row>
    <row r="1003" spans="1:31" ht="31.5" x14ac:dyDescent="0.25">
      <c r="A1003" s="699">
        <v>1000</v>
      </c>
      <c r="B1003" s="22">
        <v>44069</v>
      </c>
      <c r="C1003" s="148" t="s">
        <v>6397</v>
      </c>
      <c r="D1003" s="148"/>
      <c r="E1003" s="148" t="s">
        <v>3479</v>
      </c>
      <c r="F1003" s="101" t="s">
        <v>6398</v>
      </c>
      <c r="G1003" s="10"/>
      <c r="H1003" s="101" t="s">
        <v>168</v>
      </c>
      <c r="I1003" s="148" t="s">
        <v>6399</v>
      </c>
      <c r="J1003" s="10"/>
      <c r="K1003" s="10"/>
      <c r="L1003" s="19"/>
      <c r="M1003" s="13"/>
      <c r="N1003" s="249"/>
      <c r="O1003" s="19" t="s">
        <v>6155</v>
      </c>
      <c r="P1003" s="19"/>
      <c r="Q1003" s="19"/>
      <c r="R1003" s="13"/>
      <c r="S1003" s="19"/>
      <c r="T1003" s="19"/>
      <c r="U1003" s="19"/>
      <c r="V1003" s="19"/>
      <c r="W1003" s="19"/>
      <c r="X1003" s="19"/>
      <c r="Y1003" s="19"/>
      <c r="Z1003" s="605">
        <f t="shared" si="273"/>
        <v>0</v>
      </c>
      <c r="AA1003" s="19"/>
      <c r="AB1003" s="605">
        <f t="shared" si="275"/>
        <v>0</v>
      </c>
      <c r="AC1003" s="607">
        <f t="shared" si="249"/>
        <v>0</v>
      </c>
      <c r="AD1003" s="19"/>
      <c r="AE1003" s="19"/>
    </row>
    <row r="1004" spans="1:31" s="730" customFormat="1" ht="47.25" x14ac:dyDescent="0.25">
      <c r="A1004" s="731">
        <v>1001</v>
      </c>
      <c r="B1004" s="718">
        <v>44069</v>
      </c>
      <c r="C1004" s="719" t="s">
        <v>6400</v>
      </c>
      <c r="D1004" s="719"/>
      <c r="E1004" s="719" t="s">
        <v>309</v>
      </c>
      <c r="F1004" s="720" t="s">
        <v>6401</v>
      </c>
      <c r="G1004" s="721"/>
      <c r="H1004" s="720" t="s">
        <v>1772</v>
      </c>
      <c r="I1004" s="719" t="s">
        <v>6402</v>
      </c>
      <c r="J1004" s="721"/>
      <c r="K1004" s="721" t="s">
        <v>6599</v>
      </c>
      <c r="L1004" s="721"/>
      <c r="M1004" s="723"/>
      <c r="N1004" s="724"/>
      <c r="O1004" s="725" t="s">
        <v>4918</v>
      </c>
      <c r="P1004" s="725" t="s">
        <v>180</v>
      </c>
      <c r="Q1004" s="726">
        <v>300</v>
      </c>
      <c r="R1004" s="727">
        <v>500000</v>
      </c>
      <c r="S1004" s="726">
        <v>300000</v>
      </c>
      <c r="T1004" s="728">
        <f t="shared" ref="T1004" si="280">R1004+S1004</f>
        <v>800000</v>
      </c>
      <c r="U1004" s="721"/>
      <c r="V1004" s="721"/>
      <c r="W1004" s="721"/>
      <c r="X1004" s="721"/>
      <c r="Y1004" s="732">
        <v>0.35</v>
      </c>
      <c r="Z1004" s="605">
        <f t="shared" si="273"/>
        <v>280000</v>
      </c>
      <c r="AA1004" s="721"/>
      <c r="AB1004" s="729">
        <f t="shared" si="275"/>
        <v>520000</v>
      </c>
      <c r="AC1004" s="729">
        <f t="shared" si="249"/>
        <v>240000</v>
      </c>
      <c r="AD1004" s="721"/>
      <c r="AE1004" s="721"/>
    </row>
    <row r="1005" spans="1:31" s="730" customFormat="1" ht="47.25" x14ac:dyDescent="0.25">
      <c r="A1005" s="747">
        <v>1002</v>
      </c>
      <c r="B1005" s="718">
        <v>44069</v>
      </c>
      <c r="C1005" s="719" t="s">
        <v>6403</v>
      </c>
      <c r="D1005" s="719"/>
      <c r="E1005" s="719" t="s">
        <v>309</v>
      </c>
      <c r="F1005" s="720" t="s">
        <v>6405</v>
      </c>
      <c r="G1005" s="721"/>
      <c r="H1005" s="720" t="s">
        <v>353</v>
      </c>
      <c r="I1005" s="719" t="s">
        <v>6404</v>
      </c>
      <c r="J1005" s="721"/>
      <c r="K1005" s="721" t="s">
        <v>6599</v>
      </c>
      <c r="L1005" s="721"/>
      <c r="M1005" s="723"/>
      <c r="N1005" s="724"/>
      <c r="O1005" s="725" t="s">
        <v>4918</v>
      </c>
      <c r="P1005" s="725" t="s">
        <v>180</v>
      </c>
      <c r="Q1005" s="726">
        <v>300</v>
      </c>
      <c r="R1005" s="727">
        <v>500000</v>
      </c>
      <c r="S1005" s="726">
        <v>300000</v>
      </c>
      <c r="T1005" s="728">
        <f t="shared" ref="T1005:T1006" si="281">R1005+S1005</f>
        <v>800000</v>
      </c>
      <c r="U1005" s="721"/>
      <c r="V1005" s="721"/>
      <c r="W1005" s="721"/>
      <c r="X1005" s="721"/>
      <c r="Y1005" s="732">
        <v>0.35</v>
      </c>
      <c r="Z1005" s="605">
        <f t="shared" si="273"/>
        <v>280000</v>
      </c>
      <c r="AA1005" s="721"/>
      <c r="AB1005" s="729">
        <f t="shared" si="275"/>
        <v>520000</v>
      </c>
      <c r="AC1005" s="729">
        <f t="shared" si="249"/>
        <v>240000</v>
      </c>
      <c r="AD1005" s="721"/>
      <c r="AE1005" s="721"/>
    </row>
    <row r="1006" spans="1:31" s="746" customFormat="1" ht="47.25" x14ac:dyDescent="0.25">
      <c r="A1006" s="748">
        <v>1003</v>
      </c>
      <c r="B1006" s="734">
        <v>44069</v>
      </c>
      <c r="C1006" s="735" t="s">
        <v>6406</v>
      </c>
      <c r="D1006" s="735"/>
      <c r="E1006" s="735" t="s">
        <v>2404</v>
      </c>
      <c r="F1006" s="736" t="s">
        <v>6407</v>
      </c>
      <c r="G1006" s="737"/>
      <c r="H1006" s="736" t="s">
        <v>1177</v>
      </c>
      <c r="I1006" s="735" t="s">
        <v>6408</v>
      </c>
      <c r="J1006" s="737"/>
      <c r="K1006" s="721" t="s">
        <v>6599</v>
      </c>
      <c r="L1006" s="737"/>
      <c r="M1006" s="739"/>
      <c r="N1006" s="740"/>
      <c r="O1006" s="737" t="s">
        <v>5712</v>
      </c>
      <c r="P1006" s="741" t="s">
        <v>180</v>
      </c>
      <c r="Q1006" s="742">
        <v>100</v>
      </c>
      <c r="R1006" s="743">
        <v>500000</v>
      </c>
      <c r="S1006" s="742"/>
      <c r="T1006" s="744">
        <f t="shared" si="281"/>
        <v>500000</v>
      </c>
      <c r="U1006" s="737"/>
      <c r="V1006" s="737"/>
      <c r="W1006" s="737"/>
      <c r="X1006" s="737"/>
      <c r="Y1006" s="749">
        <v>0.35</v>
      </c>
      <c r="Z1006" s="376">
        <f t="shared" si="273"/>
        <v>175000</v>
      </c>
      <c r="AA1006" s="737"/>
      <c r="AB1006" s="745">
        <f t="shared" si="275"/>
        <v>325000</v>
      </c>
      <c r="AC1006" s="745">
        <f t="shared" si="249"/>
        <v>150000</v>
      </c>
      <c r="AD1006" s="737" t="s">
        <v>6409</v>
      </c>
      <c r="AE1006" s="737"/>
    </row>
    <row r="1007" spans="1:31" s="730" customFormat="1" ht="47.25" x14ac:dyDescent="0.25">
      <c r="A1007" s="731">
        <v>1004</v>
      </c>
      <c r="B1007" s="718">
        <v>44069</v>
      </c>
      <c r="C1007" s="719" t="s">
        <v>6410</v>
      </c>
      <c r="D1007" s="719"/>
      <c r="E1007" s="719" t="s">
        <v>3646</v>
      </c>
      <c r="F1007" s="720" t="s">
        <v>6412</v>
      </c>
      <c r="G1007" s="721"/>
      <c r="H1007" s="720" t="s">
        <v>168</v>
      </c>
      <c r="I1007" s="719" t="s">
        <v>6411</v>
      </c>
      <c r="J1007" s="721">
        <v>971051057</v>
      </c>
      <c r="K1007" s="722" t="s">
        <v>6341</v>
      </c>
      <c r="L1007" s="721" t="s">
        <v>6599</v>
      </c>
      <c r="M1007" s="723"/>
      <c r="N1007" s="724"/>
      <c r="O1007" s="725" t="s">
        <v>4918</v>
      </c>
      <c r="P1007" s="725" t="s">
        <v>180</v>
      </c>
      <c r="Q1007" s="726">
        <v>300</v>
      </c>
      <c r="R1007" s="727">
        <v>500000</v>
      </c>
      <c r="S1007" s="726">
        <v>300000</v>
      </c>
      <c r="T1007" s="728">
        <f t="shared" ref="T1007" si="282">R1007+S1007</f>
        <v>800000</v>
      </c>
      <c r="U1007" s="721"/>
      <c r="V1007" s="721"/>
      <c r="W1007" s="721"/>
      <c r="X1007" s="721"/>
      <c r="Y1007" s="721"/>
      <c r="Z1007" s="605">
        <f t="shared" si="273"/>
        <v>0</v>
      </c>
      <c r="AA1007" s="721"/>
      <c r="AB1007" s="729">
        <f t="shared" si="275"/>
        <v>520000</v>
      </c>
      <c r="AC1007" s="729">
        <f t="shared" si="249"/>
        <v>520000</v>
      </c>
      <c r="AD1007" s="721"/>
      <c r="AE1007" s="721"/>
    </row>
    <row r="1008" spans="1:31" ht="47.25" x14ac:dyDescent="0.25">
      <c r="A1008" s="113">
        <v>1005</v>
      </c>
      <c r="B1008" s="22">
        <v>44069</v>
      </c>
      <c r="C1008" s="148" t="s">
        <v>6413</v>
      </c>
      <c r="D1008" s="148"/>
      <c r="E1008" s="148" t="s">
        <v>2404</v>
      </c>
      <c r="F1008" s="101" t="s">
        <v>6415</v>
      </c>
      <c r="G1008" s="10"/>
      <c r="H1008" s="101" t="s">
        <v>327</v>
      </c>
      <c r="I1008" s="148" t="s">
        <v>6414</v>
      </c>
      <c r="J1008" s="10" t="s">
        <v>6386</v>
      </c>
      <c r="K1008" s="310" t="s">
        <v>6416</v>
      </c>
      <c r="L1008" s="19"/>
      <c r="M1008" s="13"/>
      <c r="N1008" s="249"/>
      <c r="O1008" s="19" t="s">
        <v>6155</v>
      </c>
      <c r="P1008" s="19"/>
      <c r="Q1008" s="19"/>
      <c r="R1008" s="13"/>
      <c r="S1008" s="19"/>
      <c r="T1008" s="19"/>
      <c r="U1008" s="19"/>
      <c r="V1008" s="19"/>
      <c r="W1008" s="19"/>
      <c r="X1008" s="19"/>
      <c r="Y1008" s="19"/>
      <c r="Z1008" s="376">
        <f t="shared" si="273"/>
        <v>0</v>
      </c>
      <c r="AA1008" s="19"/>
      <c r="AB1008" s="376">
        <f t="shared" si="275"/>
        <v>0</v>
      </c>
      <c r="AC1008" s="38">
        <f t="shared" si="249"/>
        <v>0</v>
      </c>
      <c r="AD1008" s="19"/>
      <c r="AE1008" s="19"/>
    </row>
    <row r="1009" spans="1:31" ht="47.25" x14ac:dyDescent="0.25">
      <c r="A1009" s="699">
        <v>1006</v>
      </c>
      <c r="B1009" s="22">
        <v>44070</v>
      </c>
      <c r="C1009" s="148" t="s">
        <v>6417</v>
      </c>
      <c r="D1009" s="148"/>
      <c r="E1009" s="148" t="s">
        <v>5693</v>
      </c>
      <c r="F1009" s="101" t="s">
        <v>6419</v>
      </c>
      <c r="G1009" s="10"/>
      <c r="H1009" s="101" t="s">
        <v>1639</v>
      </c>
      <c r="I1009" s="148" t="s">
        <v>6418</v>
      </c>
      <c r="J1009" s="10" t="s">
        <v>6420</v>
      </c>
      <c r="K1009" s="310" t="s">
        <v>6421</v>
      </c>
      <c r="L1009" s="19"/>
      <c r="M1009" s="13"/>
      <c r="N1009" s="249"/>
      <c r="O1009" s="19" t="s">
        <v>6155</v>
      </c>
      <c r="P1009" s="19"/>
      <c r="Q1009" s="19"/>
      <c r="R1009" s="13"/>
      <c r="S1009" s="19"/>
      <c r="T1009" s="19"/>
      <c r="U1009" s="19"/>
      <c r="V1009" s="19"/>
      <c r="W1009" s="19"/>
      <c r="X1009" s="19"/>
      <c r="Y1009" s="19"/>
      <c r="Z1009" s="376">
        <f t="shared" si="273"/>
        <v>0</v>
      </c>
      <c r="AA1009" s="19"/>
      <c r="AB1009" s="376">
        <f t="shared" si="275"/>
        <v>0</v>
      </c>
      <c r="AC1009" s="38">
        <f t="shared" si="249"/>
        <v>0</v>
      </c>
      <c r="AD1009" s="19"/>
      <c r="AE1009" s="19"/>
    </row>
    <row r="1010" spans="1:31" s="272" customFormat="1" ht="47.25" x14ac:dyDescent="0.25">
      <c r="A1010" s="311">
        <v>1007</v>
      </c>
      <c r="B1010" s="373">
        <v>44070</v>
      </c>
      <c r="C1010" s="358" t="s">
        <v>6422</v>
      </c>
      <c r="D1010" s="358"/>
      <c r="E1010" s="358" t="s">
        <v>5693</v>
      </c>
      <c r="F1010" s="335" t="s">
        <v>6424</v>
      </c>
      <c r="G1010" s="269"/>
      <c r="H1010" s="335" t="s">
        <v>1639</v>
      </c>
      <c r="I1010" s="358" t="s">
        <v>6423</v>
      </c>
      <c r="J1010" s="269" t="s">
        <v>6425</v>
      </c>
      <c r="K1010" s="269" t="s">
        <v>6426</v>
      </c>
      <c r="L1010" s="266"/>
      <c r="M1010" s="278"/>
      <c r="N1010" s="439"/>
      <c r="O1010" s="649" t="s">
        <v>4918</v>
      </c>
      <c r="P1010" s="649" t="s">
        <v>180</v>
      </c>
      <c r="Q1010" s="508">
        <v>300</v>
      </c>
      <c r="R1010" s="415">
        <v>500000</v>
      </c>
      <c r="S1010" s="508">
        <v>300000</v>
      </c>
      <c r="T1010" s="280">
        <f t="shared" ref="T1010" si="283">R1010+S1010</f>
        <v>800000</v>
      </c>
      <c r="U1010" s="266"/>
      <c r="V1010" s="266"/>
      <c r="W1010" s="266"/>
      <c r="X1010" s="266"/>
      <c r="Y1010" s="266"/>
      <c r="Z1010" s="605">
        <f t="shared" si="273"/>
        <v>0</v>
      </c>
      <c r="AA1010" s="266"/>
      <c r="AB1010" s="605">
        <f t="shared" si="275"/>
        <v>520000</v>
      </c>
      <c r="AC1010" s="607">
        <f t="shared" si="249"/>
        <v>520000</v>
      </c>
      <c r="AD1010" s="266"/>
      <c r="AE1010" s="266"/>
    </row>
    <row r="1011" spans="1:31" s="730" customFormat="1" ht="47.25" x14ac:dyDescent="0.25">
      <c r="A1011" s="747">
        <v>1008</v>
      </c>
      <c r="B1011" s="718">
        <v>44070</v>
      </c>
      <c r="C1011" s="719" t="s">
        <v>6427</v>
      </c>
      <c r="D1011" s="719"/>
      <c r="E1011" s="719" t="s">
        <v>2404</v>
      </c>
      <c r="F1011" s="720" t="s">
        <v>6429</v>
      </c>
      <c r="G1011" s="721"/>
      <c r="H1011" s="720" t="s">
        <v>1177</v>
      </c>
      <c r="I1011" s="719" t="s">
        <v>6428</v>
      </c>
      <c r="J1011" s="721" t="s">
        <v>6430</v>
      </c>
      <c r="K1011" s="722" t="s">
        <v>6431</v>
      </c>
      <c r="L1011" s="721" t="s">
        <v>6599</v>
      </c>
      <c r="M1011" s="723"/>
      <c r="N1011" s="724"/>
      <c r="O1011" s="725" t="s">
        <v>4918</v>
      </c>
      <c r="P1011" s="725" t="s">
        <v>180</v>
      </c>
      <c r="Q1011" s="726">
        <v>300</v>
      </c>
      <c r="R1011" s="727">
        <v>500000</v>
      </c>
      <c r="S1011" s="726">
        <v>300000</v>
      </c>
      <c r="T1011" s="728">
        <f t="shared" ref="T1011" si="284">R1011+S1011</f>
        <v>800000</v>
      </c>
      <c r="U1011" s="721"/>
      <c r="V1011" s="721"/>
      <c r="W1011" s="721"/>
      <c r="X1011" s="721"/>
      <c r="Y1011" s="732">
        <v>0.4</v>
      </c>
      <c r="Z1011" s="605">
        <f t="shared" si="273"/>
        <v>320000</v>
      </c>
      <c r="AA1011" s="721"/>
      <c r="AB1011" s="729">
        <f t="shared" si="275"/>
        <v>520000</v>
      </c>
      <c r="AC1011" s="729">
        <f t="shared" si="249"/>
        <v>200000</v>
      </c>
      <c r="AD1011" s="721"/>
      <c r="AE1011" s="721"/>
    </row>
    <row r="1012" spans="1:31" s="730" customFormat="1" ht="63" x14ac:dyDescent="0.25">
      <c r="A1012" s="750">
        <v>1009</v>
      </c>
      <c r="B1012" s="718">
        <v>44070</v>
      </c>
      <c r="C1012" s="719" t="s">
        <v>6432</v>
      </c>
      <c r="D1012" s="719"/>
      <c r="E1012" s="719" t="s">
        <v>2404</v>
      </c>
      <c r="F1012" s="720" t="s">
        <v>6433</v>
      </c>
      <c r="G1012" s="721"/>
      <c r="H1012" s="720" t="s">
        <v>1177</v>
      </c>
      <c r="I1012" s="719" t="s">
        <v>6434</v>
      </c>
      <c r="J1012" s="721" t="s">
        <v>6430</v>
      </c>
      <c r="K1012" s="722" t="s">
        <v>6431</v>
      </c>
      <c r="L1012" s="721" t="s">
        <v>6599</v>
      </c>
      <c r="M1012" s="723"/>
      <c r="N1012" s="724"/>
      <c r="O1012" s="725" t="s">
        <v>4918</v>
      </c>
      <c r="P1012" s="725" t="s">
        <v>180</v>
      </c>
      <c r="Q1012" s="726">
        <v>300</v>
      </c>
      <c r="R1012" s="727">
        <v>500000</v>
      </c>
      <c r="S1012" s="726">
        <v>300000</v>
      </c>
      <c r="T1012" s="728">
        <f t="shared" ref="T1012:T1013" si="285">R1012+S1012</f>
        <v>800000</v>
      </c>
      <c r="U1012" s="721"/>
      <c r="V1012" s="721"/>
      <c r="W1012" s="721"/>
      <c r="X1012" s="721"/>
      <c r="Y1012" s="732">
        <v>0.4</v>
      </c>
      <c r="Z1012" s="605">
        <f t="shared" si="273"/>
        <v>320000</v>
      </c>
      <c r="AA1012" s="721"/>
      <c r="AB1012" s="729">
        <f t="shared" si="275"/>
        <v>520000</v>
      </c>
      <c r="AC1012" s="729">
        <f t="shared" si="249"/>
        <v>200000</v>
      </c>
      <c r="AD1012" s="721"/>
      <c r="AE1012" s="721"/>
    </row>
    <row r="1013" spans="1:31" s="746" customFormat="1" ht="47.25" x14ac:dyDescent="0.25">
      <c r="A1013" s="751">
        <v>1010</v>
      </c>
      <c r="B1013" s="734">
        <v>44070</v>
      </c>
      <c r="C1013" s="735" t="s">
        <v>6435</v>
      </c>
      <c r="D1013" s="735"/>
      <c r="E1013" s="735" t="s">
        <v>5768</v>
      </c>
      <c r="F1013" s="736" t="s">
        <v>6436</v>
      </c>
      <c r="G1013" s="737"/>
      <c r="H1013" s="736" t="s">
        <v>168</v>
      </c>
      <c r="I1013" s="735" t="s">
        <v>6437</v>
      </c>
      <c r="J1013" s="737">
        <v>826289988</v>
      </c>
      <c r="K1013" s="738" t="s">
        <v>6438</v>
      </c>
      <c r="L1013" s="721" t="s">
        <v>6599</v>
      </c>
      <c r="M1013" s="739"/>
      <c r="N1013" s="740"/>
      <c r="O1013" s="737" t="s">
        <v>5712</v>
      </c>
      <c r="P1013" s="741" t="s">
        <v>180</v>
      </c>
      <c r="Q1013" s="742">
        <v>100</v>
      </c>
      <c r="R1013" s="743">
        <v>500000</v>
      </c>
      <c r="S1013" s="742"/>
      <c r="T1013" s="744">
        <f t="shared" si="285"/>
        <v>500000</v>
      </c>
      <c r="U1013" s="737"/>
      <c r="V1013" s="737"/>
      <c r="W1013" s="737"/>
      <c r="X1013" s="737"/>
      <c r="Y1013" s="749">
        <v>0.35</v>
      </c>
      <c r="Z1013" s="376">
        <f t="shared" si="273"/>
        <v>175000</v>
      </c>
      <c r="AA1013" s="737"/>
      <c r="AB1013" s="745">
        <f t="shared" si="275"/>
        <v>325000</v>
      </c>
      <c r="AC1013" s="745">
        <f t="shared" si="249"/>
        <v>150000</v>
      </c>
      <c r="AD1013" s="737" t="s">
        <v>6439</v>
      </c>
      <c r="AE1013" s="737"/>
    </row>
    <row r="1014" spans="1:31" s="730" customFormat="1" ht="31.5" x14ac:dyDescent="0.25">
      <c r="A1014" s="747">
        <v>1011</v>
      </c>
      <c r="B1014" s="718">
        <v>44070</v>
      </c>
      <c r="C1014" s="719" t="s">
        <v>6440</v>
      </c>
      <c r="D1014" s="719"/>
      <c r="E1014" s="719" t="s">
        <v>5768</v>
      </c>
      <c r="F1014" s="720" t="s">
        <v>6441</v>
      </c>
      <c r="G1014" s="721"/>
      <c r="H1014" s="720" t="s">
        <v>168</v>
      </c>
      <c r="I1014" s="719" t="s">
        <v>6442</v>
      </c>
      <c r="J1014" s="721">
        <v>939855988</v>
      </c>
      <c r="K1014" s="721"/>
      <c r="L1014" s="721" t="s">
        <v>6599</v>
      </c>
      <c r="M1014" s="723"/>
      <c r="N1014" s="724"/>
      <c r="O1014" s="721" t="s">
        <v>5712</v>
      </c>
      <c r="P1014" s="725" t="s">
        <v>180</v>
      </c>
      <c r="Q1014" s="726">
        <v>100</v>
      </c>
      <c r="R1014" s="727">
        <v>500000</v>
      </c>
      <c r="S1014" s="726"/>
      <c r="T1014" s="728">
        <f t="shared" ref="T1014" si="286">R1014+S1014</f>
        <v>500000</v>
      </c>
      <c r="U1014" s="721"/>
      <c r="V1014" s="721"/>
      <c r="W1014" s="721"/>
      <c r="X1014" s="721"/>
      <c r="Y1014" s="732">
        <v>0.35</v>
      </c>
      <c r="Z1014" s="605">
        <f t="shared" si="273"/>
        <v>175000</v>
      </c>
      <c r="AA1014" s="721"/>
      <c r="AB1014" s="729">
        <f t="shared" si="275"/>
        <v>325000</v>
      </c>
      <c r="AC1014" s="729">
        <f t="shared" si="249"/>
        <v>150000</v>
      </c>
      <c r="AD1014" s="721"/>
      <c r="AE1014" s="721"/>
    </row>
    <row r="1015" spans="1:31" s="730" customFormat="1" ht="63" x14ac:dyDescent="0.25">
      <c r="A1015" s="750">
        <v>1012</v>
      </c>
      <c r="B1015" s="718">
        <v>44070</v>
      </c>
      <c r="C1015" s="719" t="s">
        <v>6443</v>
      </c>
      <c r="D1015" s="719"/>
      <c r="E1015" s="719" t="s">
        <v>2404</v>
      </c>
      <c r="F1015" s="720" t="s">
        <v>6444</v>
      </c>
      <c r="G1015" s="721"/>
      <c r="H1015" s="720" t="s">
        <v>1177</v>
      </c>
      <c r="I1015" s="719" t="s">
        <v>6445</v>
      </c>
      <c r="J1015" s="721" t="s">
        <v>6446</v>
      </c>
      <c r="K1015" s="722" t="s">
        <v>6447</v>
      </c>
      <c r="L1015" s="721" t="s">
        <v>6599</v>
      </c>
      <c r="M1015" s="723"/>
      <c r="N1015" s="724"/>
      <c r="O1015" s="721" t="s">
        <v>5712</v>
      </c>
      <c r="P1015" s="725" t="s">
        <v>180</v>
      </c>
      <c r="Q1015" s="726">
        <v>100</v>
      </c>
      <c r="R1015" s="727">
        <v>500000</v>
      </c>
      <c r="S1015" s="726"/>
      <c r="T1015" s="728">
        <f t="shared" ref="T1015" si="287">R1015+S1015</f>
        <v>500000</v>
      </c>
      <c r="U1015" s="721"/>
      <c r="V1015" s="721"/>
      <c r="W1015" s="721"/>
      <c r="X1015" s="721"/>
      <c r="Y1015" s="732">
        <v>0.4</v>
      </c>
      <c r="Z1015" s="605">
        <f t="shared" si="273"/>
        <v>200000</v>
      </c>
      <c r="AA1015" s="721"/>
      <c r="AB1015" s="729">
        <f t="shared" si="275"/>
        <v>325000</v>
      </c>
      <c r="AC1015" s="729">
        <f t="shared" si="249"/>
        <v>125000</v>
      </c>
      <c r="AD1015" s="721"/>
      <c r="AE1015" s="721"/>
    </row>
    <row r="1016" spans="1:31" ht="31.5" x14ac:dyDescent="0.25">
      <c r="A1016" s="311">
        <v>1013</v>
      </c>
      <c r="B1016" s="373">
        <v>44070</v>
      </c>
      <c r="C1016" s="148" t="s">
        <v>6448</v>
      </c>
      <c r="D1016" s="148"/>
      <c r="E1016" s="148" t="s">
        <v>5768</v>
      </c>
      <c r="F1016" s="101" t="s">
        <v>6449</v>
      </c>
      <c r="G1016" s="10"/>
      <c r="H1016" s="101" t="s">
        <v>888</v>
      </c>
      <c r="I1016" s="148" t="s">
        <v>6450</v>
      </c>
      <c r="J1016" s="10" t="s">
        <v>6451</v>
      </c>
      <c r="K1016" s="208" t="s">
        <v>6452</v>
      </c>
      <c r="L1016" s="19"/>
      <c r="M1016" s="13"/>
      <c r="N1016" s="249"/>
      <c r="O1016" s="19" t="s">
        <v>6155</v>
      </c>
      <c r="P1016" s="19"/>
      <c r="Q1016" s="19"/>
      <c r="R1016" s="13"/>
      <c r="S1016" s="19"/>
      <c r="T1016" s="19"/>
      <c r="U1016" s="19"/>
      <c r="V1016" s="19"/>
      <c r="W1016" s="19"/>
      <c r="X1016" s="19"/>
      <c r="Y1016" s="19"/>
      <c r="Z1016" s="605">
        <f t="shared" si="273"/>
        <v>0</v>
      </c>
      <c r="AA1016" s="19"/>
      <c r="AB1016" s="605">
        <f t="shared" si="275"/>
        <v>0</v>
      </c>
      <c r="AC1016" s="607">
        <f t="shared" ref="AC1016:AC1111" si="288">AB1016-Z1016</f>
        <v>0</v>
      </c>
      <c r="AD1016" s="19"/>
      <c r="AE1016" s="19"/>
    </row>
    <row r="1017" spans="1:31" s="730" customFormat="1" ht="47.25" x14ac:dyDescent="0.25">
      <c r="A1017" s="747">
        <v>1014</v>
      </c>
      <c r="B1017" s="718">
        <v>44070</v>
      </c>
      <c r="C1017" s="719" t="s">
        <v>6453</v>
      </c>
      <c r="D1017" s="719"/>
      <c r="E1017" s="719" t="s">
        <v>5768</v>
      </c>
      <c r="F1017" s="720" t="s">
        <v>6454</v>
      </c>
      <c r="G1017" s="721"/>
      <c r="H1017" s="720" t="s">
        <v>168</v>
      </c>
      <c r="I1017" s="719" t="s">
        <v>6455</v>
      </c>
      <c r="J1017" s="721" t="s">
        <v>6456</v>
      </c>
      <c r="K1017" s="721" t="s">
        <v>6457</v>
      </c>
      <c r="L1017" s="721" t="s">
        <v>6599</v>
      </c>
      <c r="M1017" s="723"/>
      <c r="N1017" s="724"/>
      <c r="O1017" s="721" t="s">
        <v>4933</v>
      </c>
      <c r="P1017" s="725" t="s">
        <v>180</v>
      </c>
      <c r="Q1017" s="726">
        <v>1000</v>
      </c>
      <c r="R1017" s="727">
        <v>500000</v>
      </c>
      <c r="S1017" s="726">
        <v>675000</v>
      </c>
      <c r="T1017" s="728">
        <f t="shared" ref="T1017:T1019" si="289">R1017+S1017</f>
        <v>1175000</v>
      </c>
      <c r="U1017" s="721"/>
      <c r="V1017" s="721"/>
      <c r="W1017" s="721"/>
      <c r="X1017" s="721"/>
      <c r="Y1017" s="732">
        <v>0.4</v>
      </c>
      <c r="Z1017" s="605">
        <f t="shared" si="273"/>
        <v>470000</v>
      </c>
      <c r="AA1017" s="721"/>
      <c r="AB1017" s="729">
        <f t="shared" si="275"/>
        <v>763750</v>
      </c>
      <c r="AC1017" s="729">
        <f t="shared" si="288"/>
        <v>293750</v>
      </c>
      <c r="AD1017" s="721"/>
      <c r="AE1017" s="721"/>
    </row>
    <row r="1018" spans="1:31" s="730" customFormat="1" ht="63" x14ac:dyDescent="0.25">
      <c r="A1018" s="750">
        <v>1015</v>
      </c>
      <c r="B1018" s="718">
        <v>44070</v>
      </c>
      <c r="C1018" s="719" t="s">
        <v>6458</v>
      </c>
      <c r="D1018" s="719"/>
      <c r="E1018" s="719" t="s">
        <v>2404</v>
      </c>
      <c r="F1018" s="720" t="s">
        <v>6460</v>
      </c>
      <c r="G1018" s="721"/>
      <c r="H1018" s="720" t="s">
        <v>1177</v>
      </c>
      <c r="I1018" s="719" t="s">
        <v>6459</v>
      </c>
      <c r="J1018" s="721" t="s">
        <v>6461</v>
      </c>
      <c r="K1018" s="752" t="s">
        <v>6462</v>
      </c>
      <c r="L1018" s="721" t="s">
        <v>6599</v>
      </c>
      <c r="M1018" s="723"/>
      <c r="N1018" s="724"/>
      <c r="O1018" s="721" t="s">
        <v>5712</v>
      </c>
      <c r="P1018" s="725" t="s">
        <v>180</v>
      </c>
      <c r="Q1018" s="726">
        <v>100</v>
      </c>
      <c r="R1018" s="727">
        <v>500000</v>
      </c>
      <c r="S1018" s="726"/>
      <c r="T1018" s="728">
        <f t="shared" si="289"/>
        <v>500000</v>
      </c>
      <c r="U1018" s="721"/>
      <c r="V1018" s="721"/>
      <c r="W1018" s="721"/>
      <c r="X1018" s="721"/>
      <c r="Y1018" s="732">
        <v>0.4</v>
      </c>
      <c r="Z1018" s="605">
        <f t="shared" si="273"/>
        <v>200000</v>
      </c>
      <c r="AA1018" s="721"/>
      <c r="AB1018" s="729">
        <f t="shared" si="275"/>
        <v>325000</v>
      </c>
      <c r="AC1018" s="729">
        <f t="shared" si="288"/>
        <v>125000</v>
      </c>
      <c r="AD1018" s="721"/>
      <c r="AE1018" s="721"/>
    </row>
    <row r="1019" spans="1:31" s="730" customFormat="1" ht="47.25" x14ac:dyDescent="0.25">
      <c r="A1019" s="731">
        <v>1016</v>
      </c>
      <c r="B1019" s="718">
        <v>44070</v>
      </c>
      <c r="C1019" s="719" t="s">
        <v>6463</v>
      </c>
      <c r="D1019" s="719"/>
      <c r="E1019" s="719" t="s">
        <v>309</v>
      </c>
      <c r="F1019" s="720" t="s">
        <v>6464</v>
      </c>
      <c r="G1019" s="721"/>
      <c r="H1019" s="720" t="s">
        <v>273</v>
      </c>
      <c r="I1019" s="719" t="s">
        <v>6465</v>
      </c>
      <c r="J1019" s="721"/>
      <c r="K1019" s="721"/>
      <c r="L1019" s="721"/>
      <c r="M1019" s="723"/>
      <c r="N1019" s="724"/>
      <c r="O1019" s="725" t="s">
        <v>4918</v>
      </c>
      <c r="P1019" s="725" t="s">
        <v>180</v>
      </c>
      <c r="Q1019" s="726">
        <v>300</v>
      </c>
      <c r="R1019" s="727">
        <v>500000</v>
      </c>
      <c r="S1019" s="726">
        <v>300000</v>
      </c>
      <c r="T1019" s="728">
        <f t="shared" si="289"/>
        <v>800000</v>
      </c>
      <c r="U1019" s="721"/>
      <c r="V1019" s="721"/>
      <c r="W1019" s="721"/>
      <c r="X1019" s="721"/>
      <c r="Y1019" s="732">
        <v>0.35</v>
      </c>
      <c r="Z1019" s="605">
        <f t="shared" si="273"/>
        <v>280000</v>
      </c>
      <c r="AA1019" s="721"/>
      <c r="AB1019" s="729">
        <f t="shared" si="275"/>
        <v>520000</v>
      </c>
      <c r="AC1019" s="729">
        <f t="shared" si="288"/>
        <v>240000</v>
      </c>
      <c r="AD1019" s="721"/>
      <c r="AE1019" s="721"/>
    </row>
    <row r="1020" spans="1:31" ht="31.5" x14ac:dyDescent="0.25">
      <c r="A1020" s="113">
        <v>1017</v>
      </c>
      <c r="B1020" s="22">
        <v>44070</v>
      </c>
      <c r="C1020" s="148" t="s">
        <v>6466</v>
      </c>
      <c r="D1020" s="148"/>
      <c r="E1020" s="148" t="s">
        <v>2404</v>
      </c>
      <c r="F1020" s="101" t="s">
        <v>6467</v>
      </c>
      <c r="G1020" s="10"/>
      <c r="H1020" s="101" t="s">
        <v>1177</v>
      </c>
      <c r="I1020" s="148" t="s">
        <v>6470</v>
      </c>
      <c r="J1020" s="10" t="s">
        <v>6468</v>
      </c>
      <c r="K1020" s="310" t="s">
        <v>6469</v>
      </c>
      <c r="L1020" s="19"/>
      <c r="M1020" s="13"/>
      <c r="N1020" s="249"/>
      <c r="O1020" s="19" t="s">
        <v>5697</v>
      </c>
      <c r="P1020" s="19"/>
      <c r="Q1020" s="19"/>
      <c r="R1020" s="13"/>
      <c r="S1020" s="19"/>
      <c r="T1020" s="19"/>
      <c r="U1020" s="19"/>
      <c r="V1020" s="19"/>
      <c r="W1020" s="19"/>
      <c r="X1020" s="19"/>
      <c r="Y1020" s="19"/>
      <c r="Z1020" s="605">
        <f t="shared" si="273"/>
        <v>0</v>
      </c>
      <c r="AA1020" s="19"/>
      <c r="AB1020" s="729">
        <f t="shared" si="275"/>
        <v>0</v>
      </c>
      <c r="AC1020" s="729">
        <f t="shared" si="288"/>
        <v>0</v>
      </c>
      <c r="AD1020" s="19"/>
      <c r="AE1020" s="19"/>
    </row>
    <row r="1021" spans="1:31" ht="63" x14ac:dyDescent="0.25">
      <c r="A1021" s="113"/>
      <c r="B1021" s="22">
        <v>44071</v>
      </c>
      <c r="C1021" s="148" t="s">
        <v>6603</v>
      </c>
      <c r="D1021" s="148"/>
      <c r="E1021" s="148" t="s">
        <v>5768</v>
      </c>
      <c r="F1021" s="101" t="s">
        <v>6604</v>
      </c>
      <c r="G1021" s="10"/>
      <c r="H1021" s="101" t="s">
        <v>168</v>
      </c>
      <c r="I1021" s="148" t="s">
        <v>6605</v>
      </c>
      <c r="J1021" s="10">
        <v>984004425</v>
      </c>
      <c r="K1021" s="310" t="s">
        <v>6606</v>
      </c>
      <c r="L1021" s="19"/>
      <c r="M1021" s="13"/>
      <c r="N1021" s="249"/>
      <c r="O1021" s="693" t="s">
        <v>4959</v>
      </c>
      <c r="P1021" s="693" t="s">
        <v>180</v>
      </c>
      <c r="Q1021" s="365">
        <v>2000</v>
      </c>
      <c r="R1021" s="364">
        <v>500000</v>
      </c>
      <c r="S1021" s="365">
        <v>1100000</v>
      </c>
      <c r="T1021" s="219">
        <f t="shared" ref="T1021" si="290">R1021+S1021</f>
        <v>1600000</v>
      </c>
      <c r="U1021" s="19"/>
      <c r="V1021" s="19"/>
      <c r="W1021" s="19"/>
      <c r="X1021" s="19"/>
      <c r="Y1021" s="165">
        <v>0.35</v>
      </c>
      <c r="Z1021" s="376">
        <f t="shared" si="273"/>
        <v>560000</v>
      </c>
      <c r="AA1021" s="19"/>
      <c r="AB1021" s="745">
        <f t="shared" si="275"/>
        <v>1040000</v>
      </c>
      <c r="AC1021" s="745">
        <f t="shared" si="288"/>
        <v>480000</v>
      </c>
      <c r="AD1021" s="19" t="s">
        <v>6607</v>
      </c>
      <c r="AE1021" s="19"/>
    </row>
    <row r="1022" spans="1:31" s="272" customFormat="1" ht="47.25" x14ac:dyDescent="0.25">
      <c r="A1022" s="701">
        <v>1018</v>
      </c>
      <c r="B1022" s="373">
        <v>44071</v>
      </c>
      <c r="C1022" s="358" t="s">
        <v>6471</v>
      </c>
      <c r="D1022" s="358"/>
      <c r="E1022" s="358" t="s">
        <v>3479</v>
      </c>
      <c r="F1022" s="335" t="s">
        <v>6472</v>
      </c>
      <c r="G1022" s="269"/>
      <c r="H1022" s="335" t="s">
        <v>168</v>
      </c>
      <c r="I1022" s="358" t="s">
        <v>6473</v>
      </c>
      <c r="J1022" s="269"/>
      <c r="K1022" s="269"/>
      <c r="L1022" s="266"/>
      <c r="M1022" s="278"/>
      <c r="N1022" s="439"/>
      <c r="O1022" s="266" t="s">
        <v>5712</v>
      </c>
      <c r="P1022" s="649" t="s">
        <v>180</v>
      </c>
      <c r="Q1022" s="508">
        <v>100</v>
      </c>
      <c r="R1022" s="415">
        <v>500000</v>
      </c>
      <c r="S1022" s="508"/>
      <c r="T1022" s="280">
        <f t="shared" ref="T1022" si="291">R1022+S1022</f>
        <v>500000</v>
      </c>
      <c r="U1022" s="266"/>
      <c r="V1022" s="266"/>
      <c r="W1022" s="266"/>
      <c r="X1022" s="266"/>
      <c r="Y1022" s="271">
        <v>0.4</v>
      </c>
      <c r="Z1022" s="605">
        <f t="shared" si="273"/>
        <v>200000</v>
      </c>
      <c r="AA1022" s="266"/>
      <c r="AB1022" s="605">
        <f t="shared" si="275"/>
        <v>325000</v>
      </c>
      <c r="AC1022" s="607">
        <f t="shared" si="288"/>
        <v>125000</v>
      </c>
      <c r="AD1022" s="266"/>
      <c r="AE1022" s="266"/>
    </row>
    <row r="1023" spans="1:31" ht="63" x14ac:dyDescent="0.25">
      <c r="A1023" s="700">
        <v>1019</v>
      </c>
      <c r="B1023" s="22">
        <v>44071</v>
      </c>
      <c r="C1023" s="148" t="s">
        <v>6474</v>
      </c>
      <c r="D1023" s="148"/>
      <c r="E1023" s="148" t="s">
        <v>2404</v>
      </c>
      <c r="F1023" s="101" t="s">
        <v>6475</v>
      </c>
      <c r="G1023" s="10"/>
      <c r="H1023" s="101" t="s">
        <v>1177</v>
      </c>
      <c r="I1023" s="148" t="s">
        <v>6476</v>
      </c>
      <c r="J1023" s="10"/>
      <c r="K1023" s="10"/>
      <c r="L1023" s="19"/>
      <c r="M1023" s="13"/>
      <c r="N1023" s="249"/>
      <c r="O1023" s="19" t="s">
        <v>5697</v>
      </c>
      <c r="P1023" s="19"/>
      <c r="Q1023" s="19"/>
      <c r="R1023" s="13"/>
      <c r="S1023" s="19"/>
      <c r="T1023" s="19"/>
      <c r="U1023" s="19"/>
      <c r="V1023" s="19"/>
      <c r="W1023" s="19"/>
      <c r="X1023" s="19"/>
      <c r="Y1023" s="19"/>
      <c r="Z1023" s="376">
        <f t="shared" si="273"/>
        <v>0</v>
      </c>
      <c r="AA1023" s="19"/>
      <c r="AB1023" s="376">
        <f t="shared" si="275"/>
        <v>0</v>
      </c>
      <c r="AC1023" s="38">
        <f t="shared" si="288"/>
        <v>0</v>
      </c>
      <c r="AD1023" s="19"/>
      <c r="AE1023" s="19"/>
    </row>
    <row r="1024" spans="1:31" ht="47.25" x14ac:dyDescent="0.25">
      <c r="A1024" s="113">
        <v>1020</v>
      </c>
      <c r="B1024" s="22">
        <v>44071</v>
      </c>
      <c r="C1024" s="148" t="s">
        <v>6477</v>
      </c>
      <c r="D1024" s="148" t="s">
        <v>562</v>
      </c>
      <c r="E1024" s="148" t="s">
        <v>3646</v>
      </c>
      <c r="F1024" s="101" t="s">
        <v>6478</v>
      </c>
      <c r="G1024" s="10"/>
      <c r="H1024" s="101" t="s">
        <v>168</v>
      </c>
      <c r="I1024" s="148" t="s">
        <v>6479</v>
      </c>
      <c r="J1024" s="10"/>
      <c r="K1024" s="10"/>
      <c r="L1024" s="19"/>
      <c r="M1024" s="13"/>
      <c r="N1024" s="249"/>
      <c r="O1024" s="19" t="s">
        <v>6480</v>
      </c>
      <c r="P1024" s="19"/>
      <c r="Q1024" s="19"/>
      <c r="R1024" s="13"/>
      <c r="S1024" s="19"/>
      <c r="T1024" s="19"/>
      <c r="U1024" s="19"/>
      <c r="V1024" s="19"/>
      <c r="W1024" s="19"/>
      <c r="X1024" s="19"/>
      <c r="Y1024" s="19"/>
      <c r="Z1024" s="605">
        <f t="shared" si="273"/>
        <v>0</v>
      </c>
      <c r="AA1024" s="19"/>
      <c r="AB1024" s="605">
        <f t="shared" si="275"/>
        <v>0</v>
      </c>
      <c r="AC1024" s="607">
        <f t="shared" si="288"/>
        <v>0</v>
      </c>
      <c r="AD1024" s="19"/>
      <c r="AE1024" s="19"/>
    </row>
    <row r="1025" spans="1:31" ht="63" x14ac:dyDescent="0.25">
      <c r="A1025" s="74">
        <v>1021</v>
      </c>
      <c r="B1025" s="22">
        <v>44071</v>
      </c>
      <c r="C1025" s="148" t="s">
        <v>6481</v>
      </c>
      <c r="D1025" s="148"/>
      <c r="E1025" s="148" t="s">
        <v>2404</v>
      </c>
      <c r="F1025" s="101" t="s">
        <v>6483</v>
      </c>
      <c r="G1025" s="10"/>
      <c r="H1025" s="101" t="s">
        <v>1177</v>
      </c>
      <c r="I1025" s="148" t="s">
        <v>6482</v>
      </c>
      <c r="J1025" s="10"/>
      <c r="K1025" s="10"/>
      <c r="L1025" s="19"/>
      <c r="M1025" s="13"/>
      <c r="N1025" s="249"/>
      <c r="O1025" s="19" t="s">
        <v>5697</v>
      </c>
      <c r="P1025" s="19"/>
      <c r="Q1025" s="19"/>
      <c r="R1025" s="13"/>
      <c r="S1025" s="19"/>
      <c r="T1025" s="19"/>
      <c r="U1025" s="19"/>
      <c r="V1025" s="19"/>
      <c r="W1025" s="19"/>
      <c r="X1025" s="19"/>
      <c r="Y1025" s="19"/>
      <c r="Z1025" s="605">
        <f t="shared" si="273"/>
        <v>0</v>
      </c>
      <c r="AA1025" s="19"/>
      <c r="AB1025" s="605">
        <f t="shared" si="275"/>
        <v>0</v>
      </c>
      <c r="AC1025" s="607">
        <f t="shared" si="288"/>
        <v>0</v>
      </c>
      <c r="AD1025" s="19"/>
      <c r="AE1025" s="19"/>
    </row>
    <row r="1026" spans="1:31" s="272" customFormat="1" ht="47.25" x14ac:dyDescent="0.25">
      <c r="A1026" s="311">
        <v>1022</v>
      </c>
      <c r="B1026" s="373">
        <v>44071</v>
      </c>
      <c r="C1026" s="358" t="s">
        <v>6484</v>
      </c>
      <c r="D1026" s="358" t="s">
        <v>350</v>
      </c>
      <c r="E1026" s="358" t="s">
        <v>3646</v>
      </c>
      <c r="F1026" s="335" t="s">
        <v>6485</v>
      </c>
      <c r="G1026" s="269"/>
      <c r="H1026" s="335" t="s">
        <v>345</v>
      </c>
      <c r="I1026" s="358" t="s">
        <v>6486</v>
      </c>
      <c r="J1026" s="269"/>
      <c r="K1026" s="269"/>
      <c r="L1026" s="266"/>
      <c r="M1026" s="278"/>
      <c r="N1026" s="439"/>
      <c r="O1026" s="649" t="s">
        <v>4918</v>
      </c>
      <c r="P1026" s="649" t="s">
        <v>180</v>
      </c>
      <c r="Q1026" s="508">
        <v>300</v>
      </c>
      <c r="R1026" s="415">
        <v>500000</v>
      </c>
      <c r="S1026" s="508">
        <v>300000</v>
      </c>
      <c r="T1026" s="280">
        <f t="shared" ref="T1026:T1027" si="292">R1026+S1026</f>
        <v>800000</v>
      </c>
      <c r="U1026" s="266"/>
      <c r="V1026" s="266"/>
      <c r="W1026" s="266"/>
      <c r="X1026" s="266"/>
      <c r="Y1026" s="271">
        <v>0.4</v>
      </c>
      <c r="Z1026" s="605">
        <f t="shared" si="273"/>
        <v>320000</v>
      </c>
      <c r="AA1026" s="266"/>
      <c r="AB1026" s="605">
        <f t="shared" si="275"/>
        <v>520000</v>
      </c>
      <c r="AC1026" s="607">
        <f t="shared" si="288"/>
        <v>200000</v>
      </c>
      <c r="AD1026" s="266"/>
      <c r="AE1026" s="266"/>
    </row>
    <row r="1027" spans="1:31" s="746" customFormat="1" ht="63" x14ac:dyDescent="0.25">
      <c r="A1027" s="733">
        <v>1023</v>
      </c>
      <c r="B1027" s="734">
        <v>44071</v>
      </c>
      <c r="C1027" s="735" t="s">
        <v>6487</v>
      </c>
      <c r="D1027" s="735"/>
      <c r="E1027" s="735" t="s">
        <v>2404</v>
      </c>
      <c r="F1027" s="736" t="s">
        <v>6489</v>
      </c>
      <c r="G1027" s="737"/>
      <c r="H1027" s="736" t="s">
        <v>1177</v>
      </c>
      <c r="I1027" s="735" t="s">
        <v>6488</v>
      </c>
      <c r="J1027" s="737"/>
      <c r="K1027" s="737"/>
      <c r="L1027" s="737" t="s">
        <v>6599</v>
      </c>
      <c r="M1027" s="739"/>
      <c r="N1027" s="740"/>
      <c r="O1027" s="737" t="s">
        <v>5712</v>
      </c>
      <c r="P1027" s="741" t="s">
        <v>180</v>
      </c>
      <c r="Q1027" s="742">
        <v>100</v>
      </c>
      <c r="R1027" s="743">
        <v>500000</v>
      </c>
      <c r="S1027" s="742"/>
      <c r="T1027" s="744">
        <f t="shared" si="292"/>
        <v>500000</v>
      </c>
      <c r="U1027" s="737"/>
      <c r="V1027" s="737"/>
      <c r="W1027" s="737"/>
      <c r="X1027" s="737"/>
      <c r="Y1027" s="749">
        <v>0.4</v>
      </c>
      <c r="Z1027" s="376">
        <f t="shared" si="273"/>
        <v>200000</v>
      </c>
      <c r="AA1027" s="737"/>
      <c r="AB1027" s="745">
        <f t="shared" si="275"/>
        <v>325000</v>
      </c>
      <c r="AC1027" s="745">
        <f t="shared" si="288"/>
        <v>125000</v>
      </c>
      <c r="AD1027" s="737" t="s">
        <v>6490</v>
      </c>
      <c r="AE1027" s="737"/>
    </row>
    <row r="1028" spans="1:31" ht="47.25" x14ac:dyDescent="0.25">
      <c r="A1028" s="699">
        <v>1024</v>
      </c>
      <c r="B1028" s="22">
        <v>44071</v>
      </c>
      <c r="C1028" s="148" t="s">
        <v>6491</v>
      </c>
      <c r="D1028" s="148"/>
      <c r="E1028" s="148" t="s">
        <v>5768</v>
      </c>
      <c r="F1028" s="101" t="s">
        <v>6493</v>
      </c>
      <c r="G1028" s="10"/>
      <c r="H1028" s="101" t="s">
        <v>168</v>
      </c>
      <c r="I1028" s="148" t="s">
        <v>6492</v>
      </c>
      <c r="J1028" s="10">
        <v>915656697</v>
      </c>
      <c r="K1028" s="310" t="s">
        <v>6494</v>
      </c>
      <c r="L1028" s="19"/>
      <c r="M1028" s="13"/>
      <c r="N1028" s="249"/>
      <c r="O1028" s="19" t="s">
        <v>5712</v>
      </c>
      <c r="P1028" s="693" t="s">
        <v>180</v>
      </c>
      <c r="Q1028" s="365">
        <v>100</v>
      </c>
      <c r="R1028" s="364">
        <v>500000</v>
      </c>
      <c r="S1028" s="365"/>
      <c r="T1028" s="219">
        <f t="shared" ref="T1028:T1029" si="293">R1028+S1028</f>
        <v>500000</v>
      </c>
      <c r="U1028" s="19"/>
      <c r="V1028" s="19"/>
      <c r="W1028" s="19"/>
      <c r="X1028" s="19"/>
      <c r="Y1028" s="165">
        <v>0.35</v>
      </c>
      <c r="Z1028" s="376">
        <f t="shared" si="273"/>
        <v>175000</v>
      </c>
      <c r="AA1028" s="19"/>
      <c r="AB1028" s="376">
        <f t="shared" si="275"/>
        <v>325000</v>
      </c>
      <c r="AC1028" s="38">
        <f t="shared" si="288"/>
        <v>150000</v>
      </c>
      <c r="AD1028" s="19" t="s">
        <v>6495</v>
      </c>
      <c r="AE1028" s="19"/>
    </row>
    <row r="1029" spans="1:31" s="272" customFormat="1" ht="47.25" x14ac:dyDescent="0.25">
      <c r="A1029" s="311">
        <v>1025</v>
      </c>
      <c r="B1029" s="373">
        <v>44071</v>
      </c>
      <c r="C1029" s="358" t="s">
        <v>6496</v>
      </c>
      <c r="D1029" s="358"/>
      <c r="E1029" s="358" t="s">
        <v>2404</v>
      </c>
      <c r="F1029" s="335" t="s">
        <v>6497</v>
      </c>
      <c r="G1029" s="269"/>
      <c r="H1029" s="335" t="s">
        <v>1177</v>
      </c>
      <c r="I1029" s="358" t="s">
        <v>6498</v>
      </c>
      <c r="J1029" s="269">
        <v>977636276</v>
      </c>
      <c r="K1029" s="380" t="s">
        <v>6499</v>
      </c>
      <c r="L1029" s="266"/>
      <c r="M1029" s="278"/>
      <c r="N1029" s="439"/>
      <c r="O1029" s="266" t="s">
        <v>5712</v>
      </c>
      <c r="P1029" s="649" t="s">
        <v>180</v>
      </c>
      <c r="Q1029" s="508">
        <v>100</v>
      </c>
      <c r="R1029" s="415">
        <v>500000</v>
      </c>
      <c r="S1029" s="508"/>
      <c r="T1029" s="280">
        <f t="shared" si="293"/>
        <v>500000</v>
      </c>
      <c r="U1029" s="266"/>
      <c r="V1029" s="266"/>
      <c r="W1029" s="266"/>
      <c r="X1029" s="266"/>
      <c r="Y1029" s="271">
        <v>0.4</v>
      </c>
      <c r="Z1029" s="605">
        <f t="shared" si="273"/>
        <v>200000</v>
      </c>
      <c r="AA1029" s="266"/>
      <c r="AB1029" s="605">
        <f t="shared" si="275"/>
        <v>325000</v>
      </c>
      <c r="AC1029" s="607">
        <f t="shared" si="288"/>
        <v>125000</v>
      </c>
      <c r="AD1029" s="266"/>
      <c r="AE1029" s="266"/>
    </row>
    <row r="1030" spans="1:31" ht="63" x14ac:dyDescent="0.25">
      <c r="A1030" s="113">
        <v>1026</v>
      </c>
      <c r="B1030" s="22">
        <v>44071</v>
      </c>
      <c r="C1030" s="148" t="s">
        <v>6500</v>
      </c>
      <c r="D1030" s="148" t="s">
        <v>5925</v>
      </c>
      <c r="E1030" s="148"/>
      <c r="F1030" s="101" t="s">
        <v>6502</v>
      </c>
      <c r="G1030" s="10"/>
      <c r="H1030" s="101" t="s">
        <v>353</v>
      </c>
      <c r="I1030" s="148" t="s">
        <v>6501</v>
      </c>
      <c r="J1030" s="10"/>
      <c r="K1030" s="10"/>
      <c r="L1030" s="19"/>
      <c r="M1030" s="13"/>
      <c r="N1030" s="249"/>
      <c r="O1030" s="19" t="s">
        <v>6155</v>
      </c>
      <c r="P1030" s="19"/>
      <c r="Q1030" s="19"/>
      <c r="R1030" s="13"/>
      <c r="S1030" s="19"/>
      <c r="T1030" s="19"/>
      <c r="U1030" s="19"/>
      <c r="V1030" s="19"/>
      <c r="W1030" s="19"/>
      <c r="X1030" s="19"/>
      <c r="Y1030" s="19"/>
      <c r="Z1030" s="605">
        <f t="shared" si="273"/>
        <v>0</v>
      </c>
      <c r="AA1030" s="19"/>
      <c r="AB1030" s="605">
        <f t="shared" si="275"/>
        <v>0</v>
      </c>
      <c r="AC1030" s="607">
        <f t="shared" si="288"/>
        <v>0</v>
      </c>
      <c r="AD1030" s="19"/>
      <c r="AE1030" s="19"/>
    </row>
    <row r="1031" spans="1:31" ht="31.5" x14ac:dyDescent="0.25">
      <c r="A1031" s="74">
        <v>1027</v>
      </c>
      <c r="B1031" s="22">
        <v>44071</v>
      </c>
      <c r="C1031" s="148" t="s">
        <v>6210</v>
      </c>
      <c r="D1031" s="148"/>
      <c r="E1031" s="148" t="s">
        <v>2404</v>
      </c>
      <c r="F1031" s="101" t="s">
        <v>6503</v>
      </c>
      <c r="G1031" s="10"/>
      <c r="H1031" s="101" t="s">
        <v>1177</v>
      </c>
      <c r="I1031" s="148" t="s">
        <v>6504</v>
      </c>
      <c r="J1031" s="10" t="s">
        <v>6356</v>
      </c>
      <c r="K1031" s="208" t="s">
        <v>6211</v>
      </c>
      <c r="L1031" s="19"/>
      <c r="M1031" s="13"/>
      <c r="N1031" s="249"/>
      <c r="O1031" s="19" t="s">
        <v>6155</v>
      </c>
      <c r="P1031" s="19"/>
      <c r="Q1031" s="19"/>
      <c r="R1031" s="13"/>
      <c r="S1031" s="19"/>
      <c r="T1031" s="19"/>
      <c r="U1031" s="19"/>
      <c r="V1031" s="19"/>
      <c r="W1031" s="19"/>
      <c r="X1031" s="19"/>
      <c r="Y1031" s="19"/>
      <c r="Z1031" s="605">
        <f t="shared" si="273"/>
        <v>0</v>
      </c>
      <c r="AA1031" s="19"/>
      <c r="AB1031" s="605">
        <f t="shared" si="275"/>
        <v>0</v>
      </c>
      <c r="AC1031" s="607">
        <f t="shared" si="288"/>
        <v>0</v>
      </c>
      <c r="AD1031" s="19"/>
      <c r="AE1031" s="19"/>
    </row>
    <row r="1032" spans="1:31" s="272" customFormat="1" ht="31.5" x14ac:dyDescent="0.25">
      <c r="A1032" s="311">
        <v>1028</v>
      </c>
      <c r="B1032" s="373">
        <v>44071</v>
      </c>
      <c r="C1032" s="358" t="s">
        <v>6505</v>
      </c>
      <c r="D1032" s="358"/>
      <c r="E1032" s="358" t="s">
        <v>457</v>
      </c>
      <c r="F1032" s="335" t="s">
        <v>6506</v>
      </c>
      <c r="G1032" s="269"/>
      <c r="H1032" s="335" t="s">
        <v>1256</v>
      </c>
      <c r="I1032" s="358" t="s">
        <v>6507</v>
      </c>
      <c r="J1032" s="269"/>
      <c r="K1032" s="269"/>
      <c r="L1032" s="266"/>
      <c r="M1032" s="278"/>
      <c r="N1032" s="439"/>
      <c r="O1032" s="266" t="s">
        <v>5126</v>
      </c>
      <c r="P1032" s="649" t="s">
        <v>180</v>
      </c>
      <c r="Q1032" s="508">
        <v>5000</v>
      </c>
      <c r="R1032" s="415">
        <v>500000</v>
      </c>
      <c r="S1032" s="508">
        <v>2250000</v>
      </c>
      <c r="T1032" s="280">
        <f t="shared" ref="T1032" si="294">R1032+S1032</f>
        <v>2750000</v>
      </c>
      <c r="U1032" s="266"/>
      <c r="V1032" s="266"/>
      <c r="W1032" s="266"/>
      <c r="X1032" s="266"/>
      <c r="Y1032" s="271">
        <v>0.4</v>
      </c>
      <c r="Z1032" s="605">
        <f t="shared" si="273"/>
        <v>1100000</v>
      </c>
      <c r="AA1032" s="266"/>
      <c r="AB1032" s="605">
        <f t="shared" si="275"/>
        <v>1787500</v>
      </c>
      <c r="AC1032" s="607">
        <f t="shared" si="288"/>
        <v>687500</v>
      </c>
      <c r="AD1032" s="266"/>
      <c r="AE1032" s="266"/>
    </row>
    <row r="1033" spans="1:31" s="272" customFormat="1" ht="63" x14ac:dyDescent="0.25">
      <c r="A1033" s="698">
        <v>1029</v>
      </c>
      <c r="B1033" s="373">
        <v>44071</v>
      </c>
      <c r="C1033" s="358" t="s">
        <v>6508</v>
      </c>
      <c r="D1033" s="358" t="s">
        <v>4228</v>
      </c>
      <c r="E1033" s="358" t="s">
        <v>457</v>
      </c>
      <c r="F1033" s="335" t="s">
        <v>6509</v>
      </c>
      <c r="G1033" s="269"/>
      <c r="H1033" s="335" t="s">
        <v>1256</v>
      </c>
      <c r="I1033" s="358" t="s">
        <v>6510</v>
      </c>
      <c r="J1033" s="269"/>
      <c r="K1033" s="269"/>
      <c r="L1033" s="266"/>
      <c r="M1033" s="278"/>
      <c r="N1033" s="439"/>
      <c r="O1033" s="266" t="s">
        <v>4959</v>
      </c>
      <c r="P1033" s="649" t="s">
        <v>180</v>
      </c>
      <c r="Q1033" s="508">
        <v>2000</v>
      </c>
      <c r="R1033" s="415">
        <v>500000</v>
      </c>
      <c r="S1033" s="508">
        <v>1100000</v>
      </c>
      <c r="T1033" s="280">
        <f t="shared" ref="T1033:T1034" si="295">R1033+S1033</f>
        <v>1600000</v>
      </c>
      <c r="U1033" s="266"/>
      <c r="V1033" s="266"/>
      <c r="W1033" s="266"/>
      <c r="X1033" s="266"/>
      <c r="Y1033" s="271">
        <v>0.4</v>
      </c>
      <c r="Z1033" s="605">
        <f t="shared" si="273"/>
        <v>640000</v>
      </c>
      <c r="AA1033" s="266"/>
      <c r="AB1033" s="605">
        <f t="shared" si="275"/>
        <v>1040000</v>
      </c>
      <c r="AC1033" s="607">
        <f t="shared" si="288"/>
        <v>400000</v>
      </c>
      <c r="AD1033" s="266"/>
      <c r="AE1033" s="266"/>
    </row>
    <row r="1034" spans="1:31" s="272" customFormat="1" ht="31.5" x14ac:dyDescent="0.25">
      <c r="A1034" s="701">
        <v>1030</v>
      </c>
      <c r="B1034" s="373">
        <v>44071</v>
      </c>
      <c r="C1034" s="358" t="s">
        <v>6511</v>
      </c>
      <c r="D1034" s="358"/>
      <c r="E1034" s="358" t="s">
        <v>3479</v>
      </c>
      <c r="F1034" s="335" t="s">
        <v>5643</v>
      </c>
      <c r="G1034" s="269"/>
      <c r="H1034" s="335" t="s">
        <v>168</v>
      </c>
      <c r="I1034" s="358" t="s">
        <v>5642</v>
      </c>
      <c r="J1034" s="269" t="s">
        <v>6512</v>
      </c>
      <c r="K1034" s="269"/>
      <c r="L1034" s="266"/>
      <c r="M1034" s="278"/>
      <c r="N1034" s="439"/>
      <c r="O1034" s="649" t="s">
        <v>4918</v>
      </c>
      <c r="P1034" s="649" t="s">
        <v>180</v>
      </c>
      <c r="Q1034" s="508">
        <v>300</v>
      </c>
      <c r="R1034" s="415">
        <v>500000</v>
      </c>
      <c r="S1034" s="508">
        <v>300000</v>
      </c>
      <c r="T1034" s="280">
        <f t="shared" si="295"/>
        <v>800000</v>
      </c>
      <c r="U1034" s="266"/>
      <c r="V1034" s="266"/>
      <c r="W1034" s="266"/>
      <c r="X1034" s="266"/>
      <c r="Y1034" s="271">
        <v>0.4</v>
      </c>
      <c r="Z1034" s="605">
        <f t="shared" si="273"/>
        <v>320000</v>
      </c>
      <c r="AA1034" s="266"/>
      <c r="AB1034" s="605">
        <f t="shared" si="275"/>
        <v>520000</v>
      </c>
      <c r="AC1034" s="607">
        <f t="shared" si="288"/>
        <v>200000</v>
      </c>
      <c r="AD1034" s="266"/>
      <c r="AE1034" s="266"/>
    </row>
    <row r="1035" spans="1:31" ht="47.25" x14ac:dyDescent="0.25">
      <c r="A1035" s="700">
        <v>1031</v>
      </c>
      <c r="B1035" s="22">
        <v>44071</v>
      </c>
      <c r="C1035" s="148" t="s">
        <v>6513</v>
      </c>
      <c r="D1035" s="148"/>
      <c r="E1035" s="148" t="s">
        <v>3479</v>
      </c>
      <c r="F1035" s="101" t="s">
        <v>6514</v>
      </c>
      <c r="G1035" s="10"/>
      <c r="H1035" s="101" t="s">
        <v>168</v>
      </c>
      <c r="I1035" s="148" t="s">
        <v>6515</v>
      </c>
      <c r="J1035" s="10" t="s">
        <v>6516</v>
      </c>
      <c r="K1035" s="10"/>
      <c r="L1035" s="19"/>
      <c r="M1035" s="13"/>
      <c r="N1035" s="249"/>
      <c r="O1035" s="19" t="s">
        <v>5697</v>
      </c>
      <c r="P1035" s="19"/>
      <c r="Q1035" s="19"/>
      <c r="R1035" s="13"/>
      <c r="S1035" s="19"/>
      <c r="T1035" s="19"/>
      <c r="U1035" s="19"/>
      <c r="V1035" s="19"/>
      <c r="W1035" s="19"/>
      <c r="X1035" s="19"/>
      <c r="Y1035" s="19"/>
      <c r="Z1035" s="376">
        <f t="shared" si="273"/>
        <v>0</v>
      </c>
      <c r="AA1035" s="19"/>
      <c r="AB1035" s="376">
        <f t="shared" si="275"/>
        <v>0</v>
      </c>
      <c r="AC1035" s="38">
        <f t="shared" si="288"/>
        <v>0</v>
      </c>
      <c r="AD1035" s="19"/>
      <c r="AE1035" s="19"/>
    </row>
    <row r="1036" spans="1:31" s="272" customFormat="1" ht="47.25" x14ac:dyDescent="0.25">
      <c r="A1036" s="698">
        <v>1032</v>
      </c>
      <c r="B1036" s="373">
        <v>44071</v>
      </c>
      <c r="C1036" s="358" t="s">
        <v>6517</v>
      </c>
      <c r="D1036" s="358"/>
      <c r="E1036" s="358" t="s">
        <v>5693</v>
      </c>
      <c r="F1036" s="335" t="s">
        <v>6518</v>
      </c>
      <c r="G1036" s="269"/>
      <c r="H1036" s="335" t="s">
        <v>1639</v>
      </c>
      <c r="I1036" s="358" t="s">
        <v>6519</v>
      </c>
      <c r="J1036" s="269" t="s">
        <v>6520</v>
      </c>
      <c r="K1036" s="208" t="s">
        <v>6521</v>
      </c>
      <c r="L1036" s="266"/>
      <c r="M1036" s="278"/>
      <c r="N1036" s="439"/>
      <c r="O1036" s="266" t="s">
        <v>4932</v>
      </c>
      <c r="P1036" s="649" t="s">
        <v>180</v>
      </c>
      <c r="Q1036" s="508">
        <v>500</v>
      </c>
      <c r="R1036" s="415">
        <v>500000</v>
      </c>
      <c r="S1036" s="508">
        <v>425000</v>
      </c>
      <c r="T1036" s="280">
        <f t="shared" ref="T1036" si="296">R1036+S1036</f>
        <v>925000</v>
      </c>
      <c r="U1036" s="266"/>
      <c r="V1036" s="266"/>
      <c r="W1036" s="266"/>
      <c r="X1036" s="266"/>
      <c r="Y1036" s="271">
        <v>0.4</v>
      </c>
      <c r="Z1036" s="605">
        <f t="shared" si="273"/>
        <v>370000</v>
      </c>
      <c r="AA1036" s="266"/>
      <c r="AB1036" s="605">
        <f t="shared" si="275"/>
        <v>601250</v>
      </c>
      <c r="AC1036" s="607">
        <f t="shared" si="288"/>
        <v>231250</v>
      </c>
      <c r="AD1036" s="266"/>
      <c r="AE1036" s="266"/>
    </row>
    <row r="1037" spans="1:31" ht="78.75" x14ac:dyDescent="0.25">
      <c r="A1037" s="699">
        <v>1033</v>
      </c>
      <c r="B1037" s="22">
        <v>44071</v>
      </c>
      <c r="C1037" s="148" t="s">
        <v>6522</v>
      </c>
      <c r="D1037" s="148"/>
      <c r="E1037" s="148" t="s">
        <v>5693</v>
      </c>
      <c r="F1037" s="101" t="s">
        <v>6524</v>
      </c>
      <c r="G1037" s="10"/>
      <c r="H1037" s="101" t="s">
        <v>1639</v>
      </c>
      <c r="I1037" s="148" t="s">
        <v>6523</v>
      </c>
      <c r="J1037" s="10">
        <v>961885619</v>
      </c>
      <c r="K1037" s="10"/>
      <c r="L1037" s="19"/>
      <c r="M1037" s="13"/>
      <c r="N1037" s="249"/>
      <c r="O1037" s="19" t="s">
        <v>5697</v>
      </c>
      <c r="P1037" s="19"/>
      <c r="Q1037" s="19"/>
      <c r="R1037" s="13"/>
      <c r="S1037" s="19"/>
      <c r="T1037" s="19"/>
      <c r="U1037" s="19"/>
      <c r="V1037" s="19"/>
      <c r="W1037" s="19"/>
      <c r="X1037" s="19"/>
      <c r="Y1037" s="19"/>
      <c r="Z1037" s="376">
        <f t="shared" si="273"/>
        <v>0</v>
      </c>
      <c r="AA1037" s="19"/>
      <c r="AB1037" s="376">
        <f t="shared" si="275"/>
        <v>0</v>
      </c>
      <c r="AC1037" s="38">
        <f t="shared" si="288"/>
        <v>0</v>
      </c>
      <c r="AD1037" s="19"/>
      <c r="AE1037" s="19"/>
    </row>
    <row r="1038" spans="1:31" ht="63" x14ac:dyDescent="0.25">
      <c r="A1038" s="311">
        <v>1034</v>
      </c>
      <c r="B1038" s="373">
        <v>44071</v>
      </c>
      <c r="C1038" s="148" t="s">
        <v>6526</v>
      </c>
      <c r="D1038" s="148"/>
      <c r="E1038" s="148" t="s">
        <v>2404</v>
      </c>
      <c r="F1038" s="101" t="s">
        <v>6525</v>
      </c>
      <c r="G1038" s="10"/>
      <c r="H1038" s="101" t="s">
        <v>1177</v>
      </c>
      <c r="I1038" s="148" t="s">
        <v>6528</v>
      </c>
      <c r="J1038" s="10">
        <v>911110983</v>
      </c>
      <c r="K1038" s="208" t="s">
        <v>6527</v>
      </c>
      <c r="L1038" s="19"/>
      <c r="M1038" s="13"/>
      <c r="N1038" s="249"/>
      <c r="O1038" s="19" t="s">
        <v>5697</v>
      </c>
      <c r="P1038" s="19"/>
      <c r="Q1038" s="19"/>
      <c r="R1038" s="13"/>
      <c r="S1038" s="19"/>
      <c r="T1038" s="19"/>
      <c r="U1038" s="19"/>
      <c r="V1038" s="19"/>
      <c r="W1038" s="19"/>
      <c r="X1038" s="19"/>
      <c r="Y1038" s="19"/>
      <c r="Z1038" s="605">
        <f t="shared" si="273"/>
        <v>0</v>
      </c>
      <c r="AA1038" s="19"/>
      <c r="AB1038" s="605">
        <f t="shared" si="275"/>
        <v>0</v>
      </c>
      <c r="AC1038" s="607">
        <f t="shared" si="288"/>
        <v>0</v>
      </c>
      <c r="AD1038" s="19"/>
      <c r="AE1038" s="19"/>
    </row>
    <row r="1039" spans="1:31" ht="47.25" x14ac:dyDescent="0.25">
      <c r="A1039" s="113">
        <v>1035</v>
      </c>
      <c r="B1039" s="373">
        <v>44072</v>
      </c>
      <c r="C1039" s="148" t="s">
        <v>6529</v>
      </c>
      <c r="D1039" s="148"/>
      <c r="E1039" s="148" t="s">
        <v>2404</v>
      </c>
      <c r="F1039" s="101" t="s">
        <v>6530</v>
      </c>
      <c r="G1039" s="10"/>
      <c r="H1039" s="101" t="s">
        <v>1177</v>
      </c>
      <c r="I1039" s="148"/>
      <c r="J1039" s="10"/>
      <c r="K1039" s="10"/>
      <c r="L1039" s="19"/>
      <c r="M1039" s="13"/>
      <c r="N1039" s="249"/>
      <c r="O1039" s="19" t="s">
        <v>5697</v>
      </c>
      <c r="P1039" s="19"/>
      <c r="Q1039" s="19"/>
      <c r="R1039" s="13"/>
      <c r="S1039" s="19"/>
      <c r="T1039" s="19"/>
      <c r="U1039" s="19"/>
      <c r="V1039" s="19"/>
      <c r="W1039" s="19"/>
      <c r="X1039" s="19"/>
      <c r="Y1039" s="19"/>
      <c r="Z1039" s="605">
        <f t="shared" si="273"/>
        <v>0</v>
      </c>
      <c r="AA1039" s="19"/>
      <c r="AB1039" s="605">
        <f t="shared" si="275"/>
        <v>0</v>
      </c>
      <c r="AC1039" s="607">
        <f t="shared" si="288"/>
        <v>0</v>
      </c>
      <c r="AD1039" s="19"/>
      <c r="AE1039" s="19"/>
    </row>
    <row r="1040" spans="1:31" ht="47.25" x14ac:dyDescent="0.25">
      <c r="A1040" s="699">
        <v>1036</v>
      </c>
      <c r="B1040" s="373">
        <v>44072</v>
      </c>
      <c r="C1040" s="148" t="s">
        <v>6532</v>
      </c>
      <c r="D1040" s="148"/>
      <c r="E1040" s="148" t="s">
        <v>5768</v>
      </c>
      <c r="F1040" s="101" t="s">
        <v>6533</v>
      </c>
      <c r="G1040" s="10"/>
      <c r="H1040" s="101" t="s">
        <v>168</v>
      </c>
      <c r="I1040" s="148" t="s">
        <v>6534</v>
      </c>
      <c r="J1040" s="176" t="s">
        <v>6531</v>
      </c>
      <c r="K1040" s="10"/>
      <c r="L1040" s="19"/>
      <c r="M1040" s="13"/>
      <c r="N1040" s="249"/>
      <c r="O1040" s="19" t="s">
        <v>5697</v>
      </c>
      <c r="P1040" s="19"/>
      <c r="Q1040" s="19"/>
      <c r="R1040" s="13"/>
      <c r="S1040" s="19"/>
      <c r="T1040" s="19"/>
      <c r="U1040" s="19"/>
      <c r="V1040" s="19"/>
      <c r="W1040" s="19"/>
      <c r="X1040" s="19"/>
      <c r="Y1040" s="19"/>
      <c r="Z1040" s="605">
        <f t="shared" si="273"/>
        <v>0</v>
      </c>
      <c r="AA1040" s="19"/>
      <c r="AB1040" s="605">
        <f t="shared" si="275"/>
        <v>0</v>
      </c>
      <c r="AC1040" s="607">
        <f t="shared" si="288"/>
        <v>0</v>
      </c>
      <c r="AD1040" s="19"/>
      <c r="AE1040" s="19"/>
    </row>
    <row r="1041" spans="1:31" x14ac:dyDescent="0.25">
      <c r="A1041" s="311">
        <v>1037</v>
      </c>
      <c r="B1041" s="373">
        <v>44072</v>
      </c>
      <c r="C1041" s="148" t="s">
        <v>6535</v>
      </c>
      <c r="D1041" s="148"/>
      <c r="E1041" s="148" t="s">
        <v>3646</v>
      </c>
      <c r="F1041" s="101" t="s">
        <v>6536</v>
      </c>
      <c r="G1041" s="10"/>
      <c r="H1041" s="101"/>
      <c r="I1041" s="148"/>
      <c r="J1041" s="10"/>
      <c r="K1041" s="10"/>
      <c r="L1041" s="19"/>
      <c r="M1041" s="13"/>
      <c r="N1041" s="249"/>
      <c r="O1041" s="19" t="s">
        <v>5697</v>
      </c>
      <c r="P1041" s="19"/>
      <c r="Q1041" s="19"/>
      <c r="R1041" s="13"/>
      <c r="S1041" s="19"/>
      <c r="T1041" s="19"/>
      <c r="U1041" s="19"/>
      <c r="V1041" s="19"/>
      <c r="W1041" s="19"/>
      <c r="X1041" s="19"/>
      <c r="Y1041" s="19"/>
      <c r="Z1041" s="605">
        <f t="shared" si="273"/>
        <v>0</v>
      </c>
      <c r="AA1041" s="19"/>
      <c r="AB1041" s="605">
        <f t="shared" si="275"/>
        <v>0</v>
      </c>
      <c r="AC1041" s="607">
        <f t="shared" si="288"/>
        <v>0</v>
      </c>
      <c r="AD1041" s="19"/>
      <c r="AE1041" s="19"/>
    </row>
    <row r="1042" spans="1:31" ht="31.5" x14ac:dyDescent="0.25">
      <c r="A1042" s="113">
        <v>1038</v>
      </c>
      <c r="B1042" s="373">
        <v>44072</v>
      </c>
      <c r="C1042" s="148" t="s">
        <v>6537</v>
      </c>
      <c r="D1042" s="148"/>
      <c r="E1042" s="148" t="s">
        <v>3646</v>
      </c>
      <c r="F1042" s="101" t="s">
        <v>6538</v>
      </c>
      <c r="G1042" s="10"/>
      <c r="H1042" s="101"/>
      <c r="I1042" s="148"/>
      <c r="J1042" s="10"/>
      <c r="K1042" s="10"/>
      <c r="L1042" s="19"/>
      <c r="M1042" s="13"/>
      <c r="N1042" s="249"/>
      <c r="O1042" s="19" t="s">
        <v>5697</v>
      </c>
      <c r="P1042" s="19"/>
      <c r="Q1042" s="19"/>
      <c r="R1042" s="13"/>
      <c r="S1042" s="19"/>
      <c r="T1042" s="19"/>
      <c r="U1042" s="19"/>
      <c r="V1042" s="19"/>
      <c r="W1042" s="19"/>
      <c r="X1042" s="19"/>
      <c r="Y1042" s="19"/>
      <c r="Z1042" s="605">
        <f t="shared" si="273"/>
        <v>0</v>
      </c>
      <c r="AA1042" s="19"/>
      <c r="AB1042" s="605">
        <f t="shared" si="275"/>
        <v>0</v>
      </c>
      <c r="AC1042" s="607">
        <f t="shared" si="288"/>
        <v>0</v>
      </c>
      <c r="AD1042" s="19"/>
      <c r="AE1042" s="19"/>
    </row>
    <row r="1043" spans="1:31" x14ac:dyDescent="0.25">
      <c r="A1043" s="699">
        <v>1039</v>
      </c>
      <c r="B1043" s="373">
        <v>44072</v>
      </c>
      <c r="C1043" s="148" t="s">
        <v>6539</v>
      </c>
      <c r="D1043" s="148"/>
      <c r="E1043" s="148" t="s">
        <v>3646</v>
      </c>
      <c r="F1043" s="101" t="s">
        <v>6540</v>
      </c>
      <c r="G1043" s="10"/>
      <c r="H1043" s="101"/>
      <c r="I1043" s="148"/>
      <c r="J1043" s="10"/>
      <c r="K1043" s="10"/>
      <c r="L1043" s="19"/>
      <c r="M1043" s="13"/>
      <c r="N1043" s="249"/>
      <c r="O1043" s="19" t="s">
        <v>5697</v>
      </c>
      <c r="P1043" s="19"/>
      <c r="Q1043" s="19"/>
      <c r="R1043" s="13"/>
      <c r="S1043" s="19"/>
      <c r="T1043" s="19"/>
      <c r="U1043" s="19"/>
      <c r="V1043" s="19"/>
      <c r="W1043" s="19"/>
      <c r="X1043" s="19"/>
      <c r="Y1043" s="19"/>
      <c r="Z1043" s="605">
        <f t="shared" si="273"/>
        <v>0</v>
      </c>
      <c r="AA1043" s="19"/>
      <c r="AB1043" s="605">
        <f t="shared" si="275"/>
        <v>0</v>
      </c>
      <c r="AC1043" s="607">
        <f t="shared" si="288"/>
        <v>0</v>
      </c>
      <c r="AD1043" s="19"/>
      <c r="AE1043" s="19"/>
    </row>
    <row r="1044" spans="1:31" s="481" customFormat="1" ht="47.25" x14ac:dyDescent="0.25">
      <c r="A1044" s="702">
        <v>1040</v>
      </c>
      <c r="B1044" s="476">
        <v>44075</v>
      </c>
      <c r="C1044" s="477" t="s">
        <v>6541</v>
      </c>
      <c r="D1044" s="477"/>
      <c r="E1044" s="477" t="s">
        <v>3479</v>
      </c>
      <c r="F1044" s="478" t="s">
        <v>6543</v>
      </c>
      <c r="G1044" s="274"/>
      <c r="H1044" s="478" t="s">
        <v>168</v>
      </c>
      <c r="I1044" s="477" t="s">
        <v>6542</v>
      </c>
      <c r="J1044" s="274"/>
      <c r="K1044" s="274"/>
      <c r="L1044" s="274"/>
      <c r="M1044" s="273"/>
      <c r="N1044" s="479"/>
      <c r="O1044" s="649" t="s">
        <v>4918</v>
      </c>
      <c r="P1044" s="649" t="s">
        <v>180</v>
      </c>
      <c r="Q1044" s="508">
        <v>300</v>
      </c>
      <c r="R1044" s="415">
        <v>500000</v>
      </c>
      <c r="S1044" s="508">
        <v>300000</v>
      </c>
      <c r="T1044" s="280">
        <f t="shared" ref="T1044" si="297">R1044+S1044</f>
        <v>800000</v>
      </c>
      <c r="U1044" s="266"/>
      <c r="V1044" s="266"/>
      <c r="W1044" s="266"/>
      <c r="X1044" s="266"/>
      <c r="Y1044" s="271">
        <v>0.35</v>
      </c>
      <c r="Z1044" s="605">
        <f t="shared" si="273"/>
        <v>280000</v>
      </c>
      <c r="AA1044" s="274"/>
      <c r="AB1044" s="605">
        <f t="shared" si="275"/>
        <v>520000</v>
      </c>
      <c r="AC1044" s="607">
        <f t="shared" si="288"/>
        <v>240000</v>
      </c>
      <c r="AD1044" s="274"/>
      <c r="AE1044" s="274"/>
    </row>
    <row r="1045" spans="1:31" s="320" customFormat="1" ht="63" x14ac:dyDescent="0.25">
      <c r="A1045" s="703">
        <v>1041</v>
      </c>
      <c r="B1045" s="517">
        <v>44075</v>
      </c>
      <c r="C1045" s="268" t="s">
        <v>6544</v>
      </c>
      <c r="D1045" s="268"/>
      <c r="E1045" s="268" t="s">
        <v>3479</v>
      </c>
      <c r="F1045" s="267" t="s">
        <v>6546</v>
      </c>
      <c r="G1045" s="269"/>
      <c r="H1045" s="267" t="s">
        <v>168</v>
      </c>
      <c r="I1045" s="268" t="s">
        <v>6545</v>
      </c>
      <c r="J1045" s="269"/>
      <c r="K1045" s="269"/>
      <c r="L1045" s="269"/>
      <c r="M1045" s="270"/>
      <c r="N1045" s="439"/>
      <c r="O1045" s="678" t="s">
        <v>4918</v>
      </c>
      <c r="P1045" s="678" t="s">
        <v>180</v>
      </c>
      <c r="Q1045" s="507">
        <v>300</v>
      </c>
      <c r="R1045" s="549">
        <v>500000</v>
      </c>
      <c r="S1045" s="507">
        <v>300000</v>
      </c>
      <c r="T1045" s="279">
        <f t="shared" ref="T1045" si="298">R1045+S1045</f>
        <v>800000</v>
      </c>
      <c r="U1045" s="269"/>
      <c r="V1045" s="269"/>
      <c r="W1045" s="269"/>
      <c r="X1045" s="269"/>
      <c r="Y1045" s="516">
        <v>0.35</v>
      </c>
      <c r="Z1045" s="605">
        <f t="shared" si="273"/>
        <v>280000</v>
      </c>
      <c r="AA1045" s="269"/>
      <c r="AB1045" s="605">
        <f t="shared" si="275"/>
        <v>520000</v>
      </c>
      <c r="AC1045" s="607">
        <f t="shared" si="288"/>
        <v>240000</v>
      </c>
      <c r="AD1045" s="269"/>
      <c r="AE1045" s="269"/>
    </row>
    <row r="1046" spans="1:31" ht="31.5" x14ac:dyDescent="0.25">
      <c r="A1046" s="699">
        <v>1042</v>
      </c>
      <c r="B1046" s="517">
        <v>44075</v>
      </c>
      <c r="C1046" s="148" t="s">
        <v>6547</v>
      </c>
      <c r="D1046" s="148"/>
      <c r="E1046" s="148" t="s">
        <v>5693</v>
      </c>
      <c r="F1046" s="101" t="s">
        <v>6548</v>
      </c>
      <c r="G1046" s="10"/>
      <c r="H1046" s="101"/>
      <c r="I1046" s="148"/>
      <c r="J1046" s="10"/>
      <c r="K1046" s="10"/>
      <c r="L1046" s="19"/>
      <c r="M1046" s="13"/>
      <c r="N1046" s="249"/>
      <c r="O1046" s="19" t="s">
        <v>5697</v>
      </c>
      <c r="P1046" s="19"/>
      <c r="Q1046" s="19"/>
      <c r="R1046" s="13"/>
      <c r="S1046" s="19"/>
      <c r="T1046" s="19"/>
      <c r="U1046" s="19"/>
      <c r="V1046" s="19"/>
      <c r="W1046" s="19"/>
      <c r="X1046" s="19"/>
      <c r="Y1046" s="19"/>
      <c r="Z1046" s="605">
        <f t="shared" si="273"/>
        <v>0</v>
      </c>
      <c r="AA1046" s="19"/>
      <c r="AB1046" s="605">
        <f t="shared" si="275"/>
        <v>0</v>
      </c>
      <c r="AC1046" s="607">
        <f t="shared" si="288"/>
        <v>0</v>
      </c>
      <c r="AD1046" s="19"/>
      <c r="AE1046" s="19"/>
    </row>
    <row r="1047" spans="1:31" x14ac:dyDescent="0.25">
      <c r="A1047" s="311">
        <v>1043</v>
      </c>
      <c r="B1047" s="517">
        <v>44075</v>
      </c>
      <c r="C1047" s="148" t="s">
        <v>6550</v>
      </c>
      <c r="D1047" s="148"/>
      <c r="E1047" s="148" t="s">
        <v>3479</v>
      </c>
      <c r="F1047" s="101" t="s">
        <v>6549</v>
      </c>
      <c r="G1047" s="10"/>
      <c r="H1047" s="101"/>
      <c r="I1047" s="148"/>
      <c r="J1047" s="10"/>
      <c r="K1047" s="10"/>
      <c r="L1047" s="19"/>
      <c r="M1047" s="13"/>
      <c r="N1047" s="249"/>
      <c r="O1047" s="19" t="s">
        <v>6155</v>
      </c>
      <c r="P1047" s="19"/>
      <c r="Q1047" s="19"/>
      <c r="R1047" s="13"/>
      <c r="S1047" s="19"/>
      <c r="T1047" s="19"/>
      <c r="U1047" s="19"/>
      <c r="V1047" s="19"/>
      <c r="W1047" s="19"/>
      <c r="X1047" s="19"/>
      <c r="Y1047" s="19"/>
      <c r="Z1047" s="605">
        <f t="shared" si="273"/>
        <v>0</v>
      </c>
      <c r="AA1047" s="19"/>
      <c r="AB1047" s="605">
        <f t="shared" si="275"/>
        <v>0</v>
      </c>
      <c r="AC1047" s="607">
        <f t="shared" si="288"/>
        <v>0</v>
      </c>
      <c r="AD1047" s="19"/>
      <c r="AE1047" s="19"/>
    </row>
    <row r="1048" spans="1:31" s="272" customFormat="1" ht="47.25" x14ac:dyDescent="0.25">
      <c r="A1048" s="698">
        <v>1044</v>
      </c>
      <c r="B1048" s="517">
        <v>44075</v>
      </c>
      <c r="C1048" s="358" t="s">
        <v>6551</v>
      </c>
      <c r="D1048" s="358" t="s">
        <v>3024</v>
      </c>
      <c r="E1048" s="358" t="s">
        <v>4753</v>
      </c>
      <c r="F1048" s="335" t="s">
        <v>6552</v>
      </c>
      <c r="G1048" s="269"/>
      <c r="H1048" s="335" t="s">
        <v>322</v>
      </c>
      <c r="I1048" s="358" t="s">
        <v>6553</v>
      </c>
      <c r="J1048" s="269"/>
      <c r="K1048" s="269"/>
      <c r="L1048" s="266"/>
      <c r="M1048" s="278"/>
      <c r="N1048" s="439"/>
      <c r="O1048" s="678" t="s">
        <v>4918</v>
      </c>
      <c r="P1048" s="678" t="s">
        <v>180</v>
      </c>
      <c r="Q1048" s="507">
        <v>300</v>
      </c>
      <c r="R1048" s="549">
        <v>500000</v>
      </c>
      <c r="S1048" s="507">
        <v>300000</v>
      </c>
      <c r="T1048" s="279">
        <f t="shared" ref="T1048:T1049" si="299">R1048+S1048</f>
        <v>800000</v>
      </c>
      <c r="U1048" s="269"/>
      <c r="V1048" s="269"/>
      <c r="W1048" s="269"/>
      <c r="X1048" s="269"/>
      <c r="Y1048" s="516">
        <v>0.45</v>
      </c>
      <c r="Z1048" s="605">
        <f t="shared" si="273"/>
        <v>360000</v>
      </c>
      <c r="AA1048" s="266"/>
      <c r="AB1048" s="605">
        <f t="shared" si="275"/>
        <v>520000</v>
      </c>
      <c r="AC1048" s="607">
        <f t="shared" si="288"/>
        <v>160000</v>
      </c>
      <c r="AD1048" s="266"/>
      <c r="AE1048" s="266"/>
    </row>
    <row r="1049" spans="1:31" s="272" customFormat="1" ht="47.25" x14ac:dyDescent="0.25">
      <c r="A1049" s="701">
        <v>1045</v>
      </c>
      <c r="B1049" s="517">
        <v>44075</v>
      </c>
      <c r="C1049" s="358" t="s">
        <v>6554</v>
      </c>
      <c r="D1049" s="358"/>
      <c r="E1049" s="358" t="s">
        <v>2404</v>
      </c>
      <c r="F1049" s="335" t="s">
        <v>6556</v>
      </c>
      <c r="G1049" s="269"/>
      <c r="H1049" s="335" t="s">
        <v>1177</v>
      </c>
      <c r="I1049" s="358" t="s">
        <v>6555</v>
      </c>
      <c r="J1049" s="269" t="s">
        <v>6557</v>
      </c>
      <c r="K1049" s="380" t="s">
        <v>6558</v>
      </c>
      <c r="L1049" s="266"/>
      <c r="M1049" s="278"/>
      <c r="N1049" s="439"/>
      <c r="O1049" s="266" t="s">
        <v>5712</v>
      </c>
      <c r="P1049" s="649" t="s">
        <v>180</v>
      </c>
      <c r="Q1049" s="508">
        <v>100</v>
      </c>
      <c r="R1049" s="415">
        <v>500000</v>
      </c>
      <c r="S1049" s="508"/>
      <c r="T1049" s="280">
        <f t="shared" si="299"/>
        <v>500000</v>
      </c>
      <c r="U1049" s="266"/>
      <c r="V1049" s="266"/>
      <c r="W1049" s="266"/>
      <c r="X1049" s="266"/>
      <c r="Y1049" s="271">
        <v>0.4</v>
      </c>
      <c r="Z1049" s="605">
        <f t="shared" si="273"/>
        <v>200000</v>
      </c>
      <c r="AA1049" s="266"/>
      <c r="AB1049" s="605">
        <f t="shared" si="275"/>
        <v>325000</v>
      </c>
      <c r="AC1049" s="607">
        <f t="shared" si="288"/>
        <v>125000</v>
      </c>
      <c r="AD1049" s="266"/>
      <c r="AE1049" s="266"/>
    </row>
    <row r="1050" spans="1:31" s="272" customFormat="1" ht="47.25" x14ac:dyDescent="0.25">
      <c r="A1050" s="311">
        <v>1046</v>
      </c>
      <c r="B1050" s="517">
        <v>44075</v>
      </c>
      <c r="C1050" s="358" t="s">
        <v>6742</v>
      </c>
      <c r="D1050" s="358" t="s">
        <v>350</v>
      </c>
      <c r="E1050" s="358"/>
      <c r="F1050" s="335" t="s">
        <v>6485</v>
      </c>
      <c r="G1050" s="269"/>
      <c r="H1050" s="335" t="s">
        <v>345</v>
      </c>
      <c r="I1050" s="358" t="s">
        <v>6486</v>
      </c>
      <c r="J1050" s="269" t="s">
        <v>6743</v>
      </c>
      <c r="K1050" s="269"/>
      <c r="L1050" s="266"/>
      <c r="M1050" s="278"/>
      <c r="N1050" s="439"/>
      <c r="O1050" s="678" t="s">
        <v>4918</v>
      </c>
      <c r="P1050" s="678" t="s">
        <v>180</v>
      </c>
      <c r="Q1050" s="507">
        <v>300</v>
      </c>
      <c r="R1050" s="549">
        <v>500000</v>
      </c>
      <c r="S1050" s="507">
        <v>300000</v>
      </c>
      <c r="T1050" s="279">
        <f t="shared" ref="T1050" si="300">R1050+S1050</f>
        <v>800000</v>
      </c>
      <c r="U1050" s="266"/>
      <c r="V1050" s="266"/>
      <c r="W1050" s="266"/>
      <c r="X1050" s="266"/>
      <c r="Y1050" s="271">
        <v>0.4</v>
      </c>
      <c r="Z1050" s="605">
        <f t="shared" si="273"/>
        <v>320000</v>
      </c>
      <c r="AA1050" s="266"/>
      <c r="AB1050" s="605">
        <f t="shared" si="275"/>
        <v>520000</v>
      </c>
      <c r="AC1050" s="607">
        <f t="shared" si="288"/>
        <v>200000</v>
      </c>
      <c r="AD1050" s="266"/>
      <c r="AE1050" s="266"/>
    </row>
    <row r="1051" spans="1:31" s="272" customFormat="1" ht="47.25" x14ac:dyDescent="0.25">
      <c r="A1051" s="698">
        <v>1047</v>
      </c>
      <c r="B1051" s="373">
        <v>44075</v>
      </c>
      <c r="C1051" s="358" t="s">
        <v>6744</v>
      </c>
      <c r="D1051" s="358"/>
      <c r="E1051" s="358" t="s">
        <v>2404</v>
      </c>
      <c r="F1051" s="335" t="s">
        <v>6745</v>
      </c>
      <c r="G1051" s="269"/>
      <c r="H1051" s="335" t="s">
        <v>1177</v>
      </c>
      <c r="I1051" s="358" t="s">
        <v>6746</v>
      </c>
      <c r="J1051" s="269"/>
      <c r="K1051" s="269"/>
      <c r="L1051" s="266"/>
      <c r="M1051" s="278"/>
      <c r="N1051" s="439"/>
      <c r="O1051" s="678" t="s">
        <v>4918</v>
      </c>
      <c r="P1051" s="678" t="s">
        <v>180</v>
      </c>
      <c r="Q1051" s="507">
        <v>300</v>
      </c>
      <c r="R1051" s="549">
        <v>500000</v>
      </c>
      <c r="S1051" s="507">
        <v>300000</v>
      </c>
      <c r="T1051" s="279">
        <f t="shared" ref="T1051:T1052" si="301">R1051+S1051</f>
        <v>800000</v>
      </c>
      <c r="U1051" s="266"/>
      <c r="V1051" s="266"/>
      <c r="W1051" s="266"/>
      <c r="X1051" s="266"/>
      <c r="Y1051" s="271">
        <v>0.4</v>
      </c>
      <c r="Z1051" s="605">
        <f t="shared" si="273"/>
        <v>320000</v>
      </c>
      <c r="AA1051" s="266"/>
      <c r="AB1051" s="605">
        <f t="shared" si="275"/>
        <v>520000</v>
      </c>
      <c r="AC1051" s="607">
        <f t="shared" si="288"/>
        <v>200000</v>
      </c>
      <c r="AD1051" s="266"/>
      <c r="AE1051" s="266"/>
    </row>
    <row r="1052" spans="1:31" s="272" customFormat="1" ht="47.25" x14ac:dyDescent="0.25">
      <c r="A1052" s="701">
        <v>1048</v>
      </c>
      <c r="B1052" s="373">
        <v>44075</v>
      </c>
      <c r="C1052" s="358" t="s">
        <v>6747</v>
      </c>
      <c r="D1052" s="358"/>
      <c r="E1052" s="358" t="s">
        <v>3646</v>
      </c>
      <c r="F1052" s="335" t="s">
        <v>6749</v>
      </c>
      <c r="G1052" s="269"/>
      <c r="H1052" s="335" t="s">
        <v>322</v>
      </c>
      <c r="I1052" s="358" t="s">
        <v>6748</v>
      </c>
      <c r="J1052" s="498" t="s">
        <v>5065</v>
      </c>
      <c r="K1052" s="269"/>
      <c r="L1052" s="266"/>
      <c r="M1052" s="278"/>
      <c r="N1052" s="439"/>
      <c r="O1052" s="266" t="s">
        <v>4932</v>
      </c>
      <c r="P1052" s="649" t="s">
        <v>180</v>
      </c>
      <c r="Q1052" s="508">
        <v>500</v>
      </c>
      <c r="R1052" s="415">
        <v>500000</v>
      </c>
      <c r="S1052" s="508">
        <v>425000</v>
      </c>
      <c r="T1052" s="280">
        <f t="shared" si="301"/>
        <v>925000</v>
      </c>
      <c r="U1052" s="266"/>
      <c r="V1052" s="266"/>
      <c r="W1052" s="266"/>
      <c r="X1052" s="266"/>
      <c r="Y1052" s="266"/>
      <c r="Z1052" s="605">
        <f t="shared" si="273"/>
        <v>0</v>
      </c>
      <c r="AA1052" s="266"/>
      <c r="AB1052" s="605">
        <f t="shared" si="275"/>
        <v>601250</v>
      </c>
      <c r="AC1052" s="607">
        <f t="shared" si="288"/>
        <v>601250</v>
      </c>
      <c r="AD1052" s="266"/>
      <c r="AE1052" s="266"/>
    </row>
    <row r="1053" spans="1:31" s="272" customFormat="1" ht="78.75" x14ac:dyDescent="0.25">
      <c r="A1053" s="311">
        <v>1049</v>
      </c>
      <c r="B1053" s="373">
        <v>44075</v>
      </c>
      <c r="C1053" s="358" t="s">
        <v>6750</v>
      </c>
      <c r="D1053" s="358"/>
      <c r="E1053" s="358" t="s">
        <v>2404</v>
      </c>
      <c r="F1053" s="335" t="s">
        <v>6751</v>
      </c>
      <c r="G1053" s="269"/>
      <c r="H1053" s="335" t="s">
        <v>327</v>
      </c>
      <c r="I1053" s="358" t="s">
        <v>5991</v>
      </c>
      <c r="J1053" s="269"/>
      <c r="K1053" s="269"/>
      <c r="L1053" s="266"/>
      <c r="M1053" s="278"/>
      <c r="N1053" s="439"/>
      <c r="O1053" s="678" t="s">
        <v>4918</v>
      </c>
      <c r="P1053" s="678" t="s">
        <v>180</v>
      </c>
      <c r="Q1053" s="507">
        <v>300</v>
      </c>
      <c r="R1053" s="549">
        <v>500000</v>
      </c>
      <c r="S1053" s="507">
        <v>300000</v>
      </c>
      <c r="T1053" s="279">
        <f t="shared" ref="T1053:T1055" si="302">R1053+S1053</f>
        <v>800000</v>
      </c>
      <c r="U1053" s="266"/>
      <c r="V1053" s="266"/>
      <c r="W1053" s="266"/>
      <c r="X1053" s="266"/>
      <c r="Y1053" s="271">
        <v>0.4</v>
      </c>
      <c r="Z1053" s="605">
        <f t="shared" si="273"/>
        <v>320000</v>
      </c>
      <c r="AA1053" s="266"/>
      <c r="AB1053" s="605">
        <f t="shared" si="275"/>
        <v>520000</v>
      </c>
      <c r="AC1053" s="607">
        <f t="shared" si="288"/>
        <v>200000</v>
      </c>
      <c r="AD1053" s="266"/>
      <c r="AE1053" s="266"/>
    </row>
    <row r="1054" spans="1:31" s="272" customFormat="1" ht="47.25" x14ac:dyDescent="0.25">
      <c r="A1054" s="698">
        <v>1050</v>
      </c>
      <c r="B1054" s="373">
        <v>44075</v>
      </c>
      <c r="C1054" s="358" t="s">
        <v>6752</v>
      </c>
      <c r="D1054" s="358"/>
      <c r="E1054" s="358" t="s">
        <v>3646</v>
      </c>
      <c r="F1054" s="335" t="s">
        <v>6754</v>
      </c>
      <c r="G1054" s="269"/>
      <c r="H1054" s="335" t="s">
        <v>168</v>
      </c>
      <c r="I1054" s="358" t="s">
        <v>6753</v>
      </c>
      <c r="J1054" s="498" t="s">
        <v>6755</v>
      </c>
      <c r="K1054" s="269"/>
      <c r="L1054" s="266"/>
      <c r="M1054" s="278"/>
      <c r="N1054" s="439"/>
      <c r="O1054" s="721" t="s">
        <v>4933</v>
      </c>
      <c r="P1054" s="725" t="s">
        <v>180</v>
      </c>
      <c r="Q1054" s="726">
        <v>1000</v>
      </c>
      <c r="R1054" s="727">
        <v>500000</v>
      </c>
      <c r="S1054" s="726">
        <v>675000</v>
      </c>
      <c r="T1054" s="728">
        <f t="shared" si="302"/>
        <v>1175000</v>
      </c>
      <c r="U1054" s="266"/>
      <c r="V1054" s="266"/>
      <c r="W1054" s="266"/>
      <c r="X1054" s="266"/>
      <c r="Y1054" s="266"/>
      <c r="Z1054" s="605">
        <f t="shared" si="273"/>
        <v>0</v>
      </c>
      <c r="AA1054" s="266"/>
      <c r="AB1054" s="605">
        <f t="shared" si="275"/>
        <v>763750</v>
      </c>
      <c r="AC1054" s="607">
        <f t="shared" si="288"/>
        <v>763750</v>
      </c>
      <c r="AD1054" s="266"/>
      <c r="AE1054" s="266"/>
    </row>
    <row r="1055" spans="1:31" ht="47.25" x14ac:dyDescent="0.25">
      <c r="A1055" s="699">
        <v>1051</v>
      </c>
      <c r="B1055" s="22">
        <v>44077</v>
      </c>
      <c r="C1055" s="148" t="s">
        <v>6904</v>
      </c>
      <c r="D1055" s="148"/>
      <c r="E1055" s="148" t="s">
        <v>2404</v>
      </c>
      <c r="F1055" s="101" t="s">
        <v>6906</v>
      </c>
      <c r="G1055" s="10"/>
      <c r="H1055" s="101" t="s">
        <v>1177</v>
      </c>
      <c r="I1055" s="148" t="s">
        <v>6905</v>
      </c>
      <c r="J1055" s="10"/>
      <c r="K1055" s="10"/>
      <c r="L1055" s="19"/>
      <c r="M1055" s="13"/>
      <c r="N1055" s="249"/>
      <c r="O1055" s="19" t="s">
        <v>4932</v>
      </c>
      <c r="P1055" s="693" t="s">
        <v>180</v>
      </c>
      <c r="Q1055" s="365">
        <v>500</v>
      </c>
      <c r="R1055" s="364">
        <v>500000</v>
      </c>
      <c r="S1055" s="365">
        <v>425000</v>
      </c>
      <c r="T1055" s="219">
        <f t="shared" si="302"/>
        <v>925000</v>
      </c>
      <c r="U1055" s="19"/>
      <c r="V1055" s="19"/>
      <c r="W1055" s="19"/>
      <c r="X1055" s="19"/>
      <c r="Y1055" s="19"/>
      <c r="Z1055" s="376">
        <f t="shared" si="273"/>
        <v>0</v>
      </c>
      <c r="AA1055" s="19"/>
      <c r="AB1055" s="376">
        <f t="shared" si="275"/>
        <v>601250</v>
      </c>
      <c r="AC1055" s="38">
        <f t="shared" si="288"/>
        <v>601250</v>
      </c>
      <c r="AD1055" s="19" t="s">
        <v>6907</v>
      </c>
      <c r="AE1055" s="19"/>
    </row>
    <row r="1056" spans="1:31" ht="47.25" x14ac:dyDescent="0.25">
      <c r="A1056" s="311">
        <v>1052</v>
      </c>
      <c r="B1056" s="22">
        <v>44077</v>
      </c>
      <c r="C1056" s="148" t="s">
        <v>6908</v>
      </c>
      <c r="D1056" s="148"/>
      <c r="E1056" s="148" t="s">
        <v>3646</v>
      </c>
      <c r="F1056" s="101" t="s">
        <v>6909</v>
      </c>
      <c r="G1056" s="10"/>
      <c r="H1056" s="101" t="s">
        <v>1639</v>
      </c>
      <c r="I1056" s="148" t="s">
        <v>6910</v>
      </c>
      <c r="J1056" s="10" t="s">
        <v>6911</v>
      </c>
      <c r="K1056" s="10"/>
      <c r="L1056" s="19"/>
      <c r="M1056" s="13"/>
      <c r="N1056" s="249"/>
      <c r="O1056" s="19" t="s">
        <v>4932</v>
      </c>
      <c r="P1056" s="693" t="s">
        <v>180</v>
      </c>
      <c r="Q1056" s="365">
        <v>500</v>
      </c>
      <c r="R1056" s="364">
        <v>500000</v>
      </c>
      <c r="S1056" s="365">
        <v>425000</v>
      </c>
      <c r="T1056" s="219">
        <f t="shared" ref="T1056:T1057" si="303">R1056+S1056</f>
        <v>925000</v>
      </c>
      <c r="U1056" s="19"/>
      <c r="V1056" s="19"/>
      <c r="W1056" s="19"/>
      <c r="X1056" s="19"/>
      <c r="Y1056" s="19"/>
      <c r="Z1056" s="605">
        <f t="shared" si="273"/>
        <v>0</v>
      </c>
      <c r="AA1056" s="19"/>
      <c r="AB1056" s="605">
        <f t="shared" si="275"/>
        <v>601250</v>
      </c>
      <c r="AC1056" s="607">
        <f t="shared" si="288"/>
        <v>601250</v>
      </c>
      <c r="AD1056" s="19" t="s">
        <v>6912</v>
      </c>
      <c r="AE1056" s="19"/>
    </row>
    <row r="1057" spans="1:31" ht="47.25" x14ac:dyDescent="0.25">
      <c r="A1057" s="113">
        <v>1053</v>
      </c>
      <c r="B1057" s="22">
        <v>44077</v>
      </c>
      <c r="C1057" s="148" t="s">
        <v>6913</v>
      </c>
      <c r="D1057" s="148"/>
      <c r="E1057" s="148" t="s">
        <v>5693</v>
      </c>
      <c r="F1057" s="101" t="s">
        <v>6914</v>
      </c>
      <c r="G1057" s="10"/>
      <c r="H1057" s="101" t="s">
        <v>273</v>
      </c>
      <c r="I1057" s="148" t="s">
        <v>6915</v>
      </c>
      <c r="J1057" s="10"/>
      <c r="K1057" s="10"/>
      <c r="L1057" s="19"/>
      <c r="M1057" s="13"/>
      <c r="N1057" s="249"/>
      <c r="O1057" s="19" t="s">
        <v>5712</v>
      </c>
      <c r="P1057" s="693" t="s">
        <v>180</v>
      </c>
      <c r="Q1057" s="365">
        <v>100</v>
      </c>
      <c r="R1057" s="364">
        <v>500000</v>
      </c>
      <c r="S1057" s="365"/>
      <c r="T1057" s="219">
        <f t="shared" si="303"/>
        <v>500000</v>
      </c>
      <c r="U1057" s="19"/>
      <c r="V1057" s="19"/>
      <c r="W1057" s="19"/>
      <c r="X1057" s="19"/>
      <c r="Y1057" s="19"/>
      <c r="Z1057" s="376">
        <f t="shared" si="273"/>
        <v>0</v>
      </c>
      <c r="AA1057" s="19"/>
      <c r="AB1057" s="376">
        <f t="shared" si="275"/>
        <v>325000</v>
      </c>
      <c r="AC1057" s="38">
        <f t="shared" si="288"/>
        <v>325000</v>
      </c>
      <c r="AD1057" s="19" t="s">
        <v>6916</v>
      </c>
      <c r="AE1057" s="19"/>
    </row>
    <row r="1058" spans="1:31" ht="31.5" x14ac:dyDescent="0.25">
      <c r="A1058" s="699">
        <v>1054</v>
      </c>
      <c r="B1058" s="22">
        <v>44077</v>
      </c>
      <c r="C1058" s="148" t="s">
        <v>6917</v>
      </c>
      <c r="D1058" s="148"/>
      <c r="E1058" s="148" t="s">
        <v>3479</v>
      </c>
      <c r="F1058" s="101" t="s">
        <v>6918</v>
      </c>
      <c r="G1058" s="10"/>
      <c r="H1058" s="101" t="s">
        <v>322</v>
      </c>
      <c r="I1058" s="148" t="s">
        <v>6919</v>
      </c>
      <c r="J1058" s="10"/>
      <c r="K1058" s="10"/>
      <c r="L1058" s="19"/>
      <c r="M1058" s="13"/>
      <c r="N1058" s="249"/>
      <c r="O1058" s="19"/>
      <c r="P1058" s="19"/>
      <c r="Q1058" s="19"/>
      <c r="R1058" s="13"/>
      <c r="S1058" s="19"/>
      <c r="T1058" s="19"/>
      <c r="U1058" s="19"/>
      <c r="V1058" s="19"/>
      <c r="W1058" s="19"/>
      <c r="X1058" s="19"/>
      <c r="Y1058" s="19"/>
      <c r="Z1058" s="605">
        <f t="shared" si="273"/>
        <v>0</v>
      </c>
      <c r="AA1058" s="19"/>
      <c r="AB1058" s="605">
        <f t="shared" si="275"/>
        <v>0</v>
      </c>
      <c r="AC1058" s="607">
        <f t="shared" si="288"/>
        <v>0</v>
      </c>
      <c r="AD1058" s="19"/>
      <c r="AE1058" s="19"/>
    </row>
    <row r="1059" spans="1:31" s="272" customFormat="1" ht="47.25" x14ac:dyDescent="0.25">
      <c r="A1059" s="311">
        <v>1055</v>
      </c>
      <c r="B1059" s="373">
        <v>44077</v>
      </c>
      <c r="C1059" s="358" t="s">
        <v>7117</v>
      </c>
      <c r="D1059" s="358"/>
      <c r="E1059" s="358" t="s">
        <v>2404</v>
      </c>
      <c r="F1059" s="335" t="s">
        <v>7118</v>
      </c>
      <c r="G1059" s="269"/>
      <c r="H1059" s="335" t="s">
        <v>1177</v>
      </c>
      <c r="I1059" s="358" t="s">
        <v>6905</v>
      </c>
      <c r="J1059" s="269"/>
      <c r="K1059" s="269"/>
      <c r="L1059" s="266"/>
      <c r="M1059" s="278"/>
      <c r="N1059" s="439"/>
      <c r="O1059" s="266" t="s">
        <v>4932</v>
      </c>
      <c r="P1059" s="649" t="s">
        <v>180</v>
      </c>
      <c r="Q1059" s="508">
        <v>500</v>
      </c>
      <c r="R1059" s="415">
        <v>500000</v>
      </c>
      <c r="S1059" s="508">
        <v>425000</v>
      </c>
      <c r="T1059" s="280">
        <f t="shared" ref="T1059" si="304">R1059+S1059</f>
        <v>925000</v>
      </c>
      <c r="U1059" s="266"/>
      <c r="V1059" s="266"/>
      <c r="W1059" s="266"/>
      <c r="X1059" s="266"/>
      <c r="Y1059" s="271">
        <v>0.4</v>
      </c>
      <c r="Z1059" s="605">
        <f t="shared" si="273"/>
        <v>370000</v>
      </c>
      <c r="AA1059" s="266"/>
      <c r="AB1059" s="605">
        <f t="shared" si="275"/>
        <v>601250</v>
      </c>
      <c r="AC1059" s="607">
        <f t="shared" si="288"/>
        <v>231250</v>
      </c>
      <c r="AD1059" s="266" t="s">
        <v>6907</v>
      </c>
      <c r="AE1059" s="266"/>
    </row>
    <row r="1060" spans="1:31" x14ac:dyDescent="0.25">
      <c r="A1060" s="699"/>
      <c r="B1060" s="22"/>
      <c r="C1060" s="148"/>
      <c r="D1060" s="148"/>
      <c r="E1060" s="148"/>
      <c r="F1060" s="101"/>
      <c r="G1060" s="10"/>
      <c r="H1060" s="101"/>
      <c r="I1060" s="148"/>
      <c r="J1060" s="10"/>
      <c r="K1060" s="10"/>
      <c r="L1060" s="19"/>
      <c r="M1060" s="13"/>
      <c r="N1060" s="249"/>
      <c r="O1060" s="19"/>
      <c r="P1060" s="19"/>
      <c r="Q1060" s="19"/>
      <c r="R1060" s="13"/>
      <c r="S1060" s="19"/>
      <c r="T1060" s="19"/>
      <c r="U1060" s="19"/>
      <c r="V1060" s="19"/>
      <c r="W1060" s="19"/>
      <c r="X1060" s="19"/>
      <c r="Y1060" s="19"/>
      <c r="Z1060" s="605">
        <f t="shared" ref="Z1060:Z1091" si="305">T1060*Y1060</f>
        <v>0</v>
      </c>
      <c r="AA1060" s="19"/>
      <c r="AB1060" s="605">
        <f t="shared" si="275"/>
        <v>0</v>
      </c>
      <c r="AC1060" s="607">
        <f t="shared" si="288"/>
        <v>0</v>
      </c>
      <c r="AD1060" s="19"/>
      <c r="AE1060" s="19"/>
    </row>
    <row r="1061" spans="1:31" x14ac:dyDescent="0.25">
      <c r="A1061" s="699"/>
      <c r="B1061" s="22"/>
      <c r="C1061" s="148"/>
      <c r="D1061" s="148"/>
      <c r="E1061" s="148"/>
      <c r="F1061" s="101"/>
      <c r="G1061" s="10"/>
      <c r="H1061" s="101"/>
      <c r="I1061" s="148"/>
      <c r="J1061" s="10"/>
      <c r="K1061" s="10"/>
      <c r="L1061" s="19"/>
      <c r="M1061" s="13"/>
      <c r="N1061" s="249"/>
      <c r="O1061" s="19"/>
      <c r="P1061" s="19"/>
      <c r="Q1061" s="19"/>
      <c r="R1061" s="13"/>
      <c r="S1061" s="19"/>
      <c r="T1061" s="19"/>
      <c r="U1061" s="19"/>
      <c r="V1061" s="19"/>
      <c r="W1061" s="19"/>
      <c r="X1061" s="19"/>
      <c r="Y1061" s="19"/>
      <c r="Z1061" s="605">
        <f t="shared" si="305"/>
        <v>0</v>
      </c>
      <c r="AA1061" s="19"/>
      <c r="AB1061" s="605">
        <f t="shared" si="275"/>
        <v>0</v>
      </c>
      <c r="AC1061" s="607">
        <f t="shared" si="288"/>
        <v>0</v>
      </c>
      <c r="AD1061" s="19"/>
      <c r="AE1061" s="19"/>
    </row>
    <row r="1062" spans="1:31" x14ac:dyDescent="0.25">
      <c r="A1062" s="699"/>
      <c r="B1062" s="22"/>
      <c r="C1062" s="148"/>
      <c r="D1062" s="148"/>
      <c r="E1062" s="148"/>
      <c r="F1062" s="101"/>
      <c r="G1062" s="10"/>
      <c r="H1062" s="101"/>
      <c r="I1062" s="148"/>
      <c r="J1062" s="10"/>
      <c r="K1062" s="10"/>
      <c r="L1062" s="19"/>
      <c r="M1062" s="13"/>
      <c r="N1062" s="249"/>
      <c r="O1062" s="19"/>
      <c r="P1062" s="19"/>
      <c r="Q1062" s="19"/>
      <c r="R1062" s="13"/>
      <c r="S1062" s="19"/>
      <c r="T1062" s="19"/>
      <c r="U1062" s="19"/>
      <c r="V1062" s="19"/>
      <c r="W1062" s="19"/>
      <c r="X1062" s="19"/>
      <c r="Y1062" s="19"/>
      <c r="Z1062" s="605">
        <f t="shared" si="305"/>
        <v>0</v>
      </c>
      <c r="AA1062" s="19"/>
      <c r="AB1062" s="605">
        <f t="shared" si="275"/>
        <v>0</v>
      </c>
      <c r="AC1062" s="607">
        <f t="shared" si="288"/>
        <v>0</v>
      </c>
      <c r="AD1062" s="19"/>
      <c r="AE1062" s="19"/>
    </row>
    <row r="1063" spans="1:31" x14ac:dyDescent="0.25">
      <c r="A1063" s="699"/>
      <c r="B1063" s="22"/>
      <c r="C1063" s="148"/>
      <c r="D1063" s="148"/>
      <c r="E1063" s="148"/>
      <c r="F1063" s="101"/>
      <c r="G1063" s="10"/>
      <c r="H1063" s="101"/>
      <c r="I1063" s="148"/>
      <c r="J1063" s="10"/>
      <c r="K1063" s="10"/>
      <c r="L1063" s="19"/>
      <c r="M1063" s="13"/>
      <c r="N1063" s="249"/>
      <c r="O1063" s="19"/>
      <c r="P1063" s="19"/>
      <c r="Q1063" s="19"/>
      <c r="R1063" s="13"/>
      <c r="S1063" s="19"/>
      <c r="T1063" s="19"/>
      <c r="U1063" s="19"/>
      <c r="V1063" s="19"/>
      <c r="W1063" s="19"/>
      <c r="X1063" s="19"/>
      <c r="Y1063" s="19"/>
      <c r="Z1063" s="605">
        <f t="shared" si="305"/>
        <v>0</v>
      </c>
      <c r="AA1063" s="19"/>
      <c r="AB1063" s="605">
        <f t="shared" si="275"/>
        <v>0</v>
      </c>
      <c r="AC1063" s="607">
        <f t="shared" si="288"/>
        <v>0</v>
      </c>
      <c r="AD1063" s="19"/>
      <c r="AE1063" s="19"/>
    </row>
    <row r="1064" spans="1:31" x14ac:dyDescent="0.25">
      <c r="A1064" s="699"/>
      <c r="B1064" s="22"/>
      <c r="C1064" s="148"/>
      <c r="D1064" s="148"/>
      <c r="E1064" s="148"/>
      <c r="F1064" s="101"/>
      <c r="G1064" s="10"/>
      <c r="H1064" s="101"/>
      <c r="I1064" s="148"/>
      <c r="J1064" s="10"/>
      <c r="K1064" s="10"/>
      <c r="L1064" s="19"/>
      <c r="M1064" s="13"/>
      <c r="N1064" s="249"/>
      <c r="O1064" s="19"/>
      <c r="P1064" s="19"/>
      <c r="Q1064" s="19"/>
      <c r="R1064" s="13"/>
      <c r="S1064" s="19"/>
      <c r="T1064" s="19"/>
      <c r="U1064" s="19"/>
      <c r="V1064" s="19"/>
      <c r="W1064" s="19"/>
      <c r="X1064" s="19"/>
      <c r="Y1064" s="19"/>
      <c r="Z1064" s="605">
        <f t="shared" si="305"/>
        <v>0</v>
      </c>
      <c r="AA1064" s="19"/>
      <c r="AB1064" s="605">
        <f t="shared" si="275"/>
        <v>0</v>
      </c>
      <c r="AC1064" s="607">
        <f t="shared" si="288"/>
        <v>0</v>
      </c>
      <c r="AD1064" s="19"/>
      <c r="AE1064" s="19"/>
    </row>
    <row r="1065" spans="1:31" x14ac:dyDescent="0.25">
      <c r="A1065" s="699"/>
      <c r="B1065" s="22"/>
      <c r="C1065" s="148"/>
      <c r="D1065" s="148"/>
      <c r="E1065" s="148"/>
      <c r="F1065" s="101"/>
      <c r="G1065" s="10"/>
      <c r="H1065" s="101"/>
      <c r="I1065" s="148"/>
      <c r="J1065" s="10"/>
      <c r="K1065" s="10"/>
      <c r="L1065" s="19"/>
      <c r="M1065" s="13"/>
      <c r="N1065" s="249"/>
      <c r="O1065" s="19"/>
      <c r="P1065" s="19"/>
      <c r="Q1065" s="19"/>
      <c r="R1065" s="13"/>
      <c r="S1065" s="19"/>
      <c r="T1065" s="19"/>
      <c r="U1065" s="19"/>
      <c r="V1065" s="19"/>
      <c r="W1065" s="19"/>
      <c r="X1065" s="19"/>
      <c r="Y1065" s="19"/>
      <c r="Z1065" s="605">
        <f t="shared" si="305"/>
        <v>0</v>
      </c>
      <c r="AA1065" s="19"/>
      <c r="AB1065" s="605">
        <f t="shared" si="275"/>
        <v>0</v>
      </c>
      <c r="AC1065" s="607">
        <f t="shared" si="288"/>
        <v>0</v>
      </c>
      <c r="AD1065" s="19"/>
      <c r="AE1065" s="19"/>
    </row>
    <row r="1066" spans="1:31" x14ac:dyDescent="0.25">
      <c r="A1066" s="699"/>
      <c r="B1066" s="22"/>
      <c r="C1066" s="148"/>
      <c r="D1066" s="148"/>
      <c r="E1066" s="148"/>
      <c r="F1066" s="101"/>
      <c r="G1066" s="10"/>
      <c r="H1066" s="101"/>
      <c r="I1066" s="148"/>
      <c r="J1066" s="10"/>
      <c r="K1066" s="10"/>
      <c r="L1066" s="19"/>
      <c r="M1066" s="13"/>
      <c r="N1066" s="249"/>
      <c r="O1066" s="19"/>
      <c r="P1066" s="19"/>
      <c r="Q1066" s="19"/>
      <c r="R1066" s="13"/>
      <c r="S1066" s="19"/>
      <c r="T1066" s="19"/>
      <c r="U1066" s="19"/>
      <c r="V1066" s="19"/>
      <c r="W1066" s="19"/>
      <c r="X1066" s="19"/>
      <c r="Y1066" s="19"/>
      <c r="Z1066" s="605">
        <f t="shared" si="305"/>
        <v>0</v>
      </c>
      <c r="AA1066" s="19"/>
      <c r="AB1066" s="605">
        <f t="shared" si="275"/>
        <v>0</v>
      </c>
      <c r="AC1066" s="607">
        <f t="shared" si="288"/>
        <v>0</v>
      </c>
      <c r="AD1066" s="19"/>
      <c r="AE1066" s="19"/>
    </row>
    <row r="1067" spans="1:31" x14ac:dyDescent="0.25">
      <c r="A1067" s="699"/>
      <c r="B1067" s="22"/>
      <c r="C1067" s="148"/>
      <c r="D1067" s="148"/>
      <c r="E1067" s="148"/>
      <c r="F1067" s="101"/>
      <c r="G1067" s="10"/>
      <c r="H1067" s="101"/>
      <c r="I1067" s="148"/>
      <c r="J1067" s="10"/>
      <c r="K1067" s="10"/>
      <c r="L1067" s="19"/>
      <c r="M1067" s="13"/>
      <c r="N1067" s="249"/>
      <c r="O1067" s="19"/>
      <c r="P1067" s="19"/>
      <c r="Q1067" s="19"/>
      <c r="R1067" s="13"/>
      <c r="S1067" s="19"/>
      <c r="T1067" s="19"/>
      <c r="U1067" s="19"/>
      <c r="V1067" s="19"/>
      <c r="W1067" s="19"/>
      <c r="X1067" s="19"/>
      <c r="Y1067" s="19"/>
      <c r="Z1067" s="605">
        <f t="shared" si="305"/>
        <v>0</v>
      </c>
      <c r="AA1067" s="19"/>
      <c r="AB1067" s="605">
        <f t="shared" si="275"/>
        <v>0</v>
      </c>
      <c r="AC1067" s="607">
        <f t="shared" si="288"/>
        <v>0</v>
      </c>
      <c r="AD1067" s="19"/>
      <c r="AE1067" s="19"/>
    </row>
    <row r="1068" spans="1:31" x14ac:dyDescent="0.25">
      <c r="A1068" s="699"/>
      <c r="B1068" s="22"/>
      <c r="C1068" s="148"/>
      <c r="D1068" s="148"/>
      <c r="E1068" s="148"/>
      <c r="F1068" s="101"/>
      <c r="G1068" s="10"/>
      <c r="H1068" s="101"/>
      <c r="I1068" s="148"/>
      <c r="J1068" s="10"/>
      <c r="K1068" s="10"/>
      <c r="L1068" s="19"/>
      <c r="M1068" s="13"/>
      <c r="N1068" s="249"/>
      <c r="O1068" s="19"/>
      <c r="P1068" s="19"/>
      <c r="Q1068" s="19"/>
      <c r="R1068" s="13"/>
      <c r="S1068" s="19"/>
      <c r="T1068" s="19"/>
      <c r="U1068" s="19"/>
      <c r="V1068" s="19"/>
      <c r="W1068" s="19"/>
      <c r="X1068" s="19"/>
      <c r="Y1068" s="19"/>
      <c r="Z1068" s="605">
        <f t="shared" si="305"/>
        <v>0</v>
      </c>
      <c r="AA1068" s="19"/>
      <c r="AB1068" s="605">
        <f t="shared" si="275"/>
        <v>0</v>
      </c>
      <c r="AC1068" s="607">
        <f t="shared" si="288"/>
        <v>0</v>
      </c>
      <c r="AD1068" s="19"/>
      <c r="AE1068" s="19"/>
    </row>
    <row r="1069" spans="1:31" x14ac:dyDescent="0.25">
      <c r="A1069" s="699"/>
      <c r="B1069" s="22"/>
      <c r="C1069" s="148"/>
      <c r="D1069" s="148"/>
      <c r="E1069" s="148"/>
      <c r="F1069" s="101"/>
      <c r="G1069" s="10"/>
      <c r="H1069" s="101"/>
      <c r="I1069" s="148"/>
      <c r="J1069" s="10"/>
      <c r="K1069" s="10"/>
      <c r="L1069" s="19"/>
      <c r="M1069" s="13"/>
      <c r="N1069" s="249"/>
      <c r="O1069" s="19"/>
      <c r="P1069" s="19"/>
      <c r="Q1069" s="19"/>
      <c r="R1069" s="13"/>
      <c r="S1069" s="19"/>
      <c r="T1069" s="19"/>
      <c r="U1069" s="19"/>
      <c r="V1069" s="19"/>
      <c r="W1069" s="19"/>
      <c r="X1069" s="19"/>
      <c r="Y1069" s="19"/>
      <c r="Z1069" s="605">
        <f t="shared" si="305"/>
        <v>0</v>
      </c>
      <c r="AA1069" s="19"/>
      <c r="AB1069" s="605">
        <f t="shared" si="275"/>
        <v>0</v>
      </c>
      <c r="AC1069" s="607">
        <f t="shared" si="288"/>
        <v>0</v>
      </c>
      <c r="AD1069" s="19"/>
      <c r="AE1069" s="19"/>
    </row>
    <row r="1070" spans="1:31" x14ac:dyDescent="0.25">
      <c r="A1070" s="699"/>
      <c r="B1070" s="22"/>
      <c r="C1070" s="148"/>
      <c r="D1070" s="148"/>
      <c r="E1070" s="148"/>
      <c r="F1070" s="101"/>
      <c r="G1070" s="10"/>
      <c r="H1070" s="101"/>
      <c r="I1070" s="148"/>
      <c r="J1070" s="10"/>
      <c r="K1070" s="10"/>
      <c r="L1070" s="19"/>
      <c r="M1070" s="13"/>
      <c r="N1070" s="249"/>
      <c r="O1070" s="19"/>
      <c r="P1070" s="19"/>
      <c r="Q1070" s="19"/>
      <c r="R1070" s="13"/>
      <c r="S1070" s="19"/>
      <c r="T1070" s="19"/>
      <c r="U1070" s="19"/>
      <c r="V1070" s="19"/>
      <c r="W1070" s="19"/>
      <c r="X1070" s="19"/>
      <c r="Y1070" s="19"/>
      <c r="Z1070" s="605">
        <f t="shared" si="305"/>
        <v>0</v>
      </c>
      <c r="AA1070" s="19"/>
      <c r="AB1070" s="605">
        <f t="shared" si="275"/>
        <v>0</v>
      </c>
      <c r="AC1070" s="607">
        <f t="shared" si="288"/>
        <v>0</v>
      </c>
      <c r="AD1070" s="19"/>
      <c r="AE1070" s="19"/>
    </row>
    <row r="1071" spans="1:31" x14ac:dyDescent="0.25">
      <c r="A1071" s="699"/>
      <c r="B1071" s="22"/>
      <c r="C1071" s="148"/>
      <c r="D1071" s="148"/>
      <c r="E1071" s="148"/>
      <c r="F1071" s="101"/>
      <c r="G1071" s="10"/>
      <c r="H1071" s="101"/>
      <c r="I1071" s="148"/>
      <c r="J1071" s="10"/>
      <c r="K1071" s="10"/>
      <c r="L1071" s="19"/>
      <c r="M1071" s="13"/>
      <c r="N1071" s="249"/>
      <c r="O1071" s="19"/>
      <c r="P1071" s="19"/>
      <c r="Q1071" s="19"/>
      <c r="R1071" s="13"/>
      <c r="S1071" s="19"/>
      <c r="T1071" s="19"/>
      <c r="U1071" s="19"/>
      <c r="V1071" s="19"/>
      <c r="W1071" s="19"/>
      <c r="X1071" s="19"/>
      <c r="Y1071" s="19"/>
      <c r="Z1071" s="605">
        <f t="shared" si="305"/>
        <v>0</v>
      </c>
      <c r="AA1071" s="19"/>
      <c r="AB1071" s="605">
        <f t="shared" si="275"/>
        <v>0</v>
      </c>
      <c r="AC1071" s="607">
        <f t="shared" si="288"/>
        <v>0</v>
      </c>
      <c r="AD1071" s="19"/>
      <c r="AE1071" s="19"/>
    </row>
    <row r="1072" spans="1:31" x14ac:dyDescent="0.25">
      <c r="A1072" s="699"/>
      <c r="B1072" s="22"/>
      <c r="C1072" s="148"/>
      <c r="D1072" s="148"/>
      <c r="E1072" s="148"/>
      <c r="F1072" s="101"/>
      <c r="G1072" s="10"/>
      <c r="H1072" s="101"/>
      <c r="I1072" s="148"/>
      <c r="J1072" s="10"/>
      <c r="K1072" s="10"/>
      <c r="L1072" s="19"/>
      <c r="M1072" s="13"/>
      <c r="N1072" s="249"/>
      <c r="O1072" s="19"/>
      <c r="P1072" s="19"/>
      <c r="Q1072" s="19"/>
      <c r="R1072" s="13"/>
      <c r="S1072" s="19"/>
      <c r="T1072" s="19"/>
      <c r="U1072" s="19"/>
      <c r="V1072" s="19"/>
      <c r="W1072" s="19"/>
      <c r="X1072" s="19"/>
      <c r="Y1072" s="19"/>
      <c r="Z1072" s="605">
        <f t="shared" si="305"/>
        <v>0</v>
      </c>
      <c r="AA1072" s="19"/>
      <c r="AB1072" s="605">
        <f t="shared" si="275"/>
        <v>0</v>
      </c>
      <c r="AC1072" s="607">
        <f t="shared" si="288"/>
        <v>0</v>
      </c>
      <c r="AD1072" s="19"/>
      <c r="AE1072" s="19"/>
    </row>
    <row r="1073" spans="1:31" x14ac:dyDescent="0.25">
      <c r="A1073" s="699"/>
      <c r="B1073" s="22"/>
      <c r="C1073" s="148"/>
      <c r="D1073" s="148"/>
      <c r="E1073" s="148"/>
      <c r="F1073" s="101"/>
      <c r="G1073" s="10"/>
      <c r="H1073" s="101"/>
      <c r="I1073" s="148"/>
      <c r="J1073" s="10"/>
      <c r="K1073" s="10"/>
      <c r="L1073" s="19"/>
      <c r="M1073" s="13"/>
      <c r="N1073" s="249"/>
      <c r="O1073" s="19"/>
      <c r="P1073" s="19"/>
      <c r="Q1073" s="19"/>
      <c r="R1073" s="13"/>
      <c r="S1073" s="19"/>
      <c r="T1073" s="19"/>
      <c r="U1073" s="19"/>
      <c r="V1073" s="19"/>
      <c r="W1073" s="19"/>
      <c r="X1073" s="19"/>
      <c r="Y1073" s="19"/>
      <c r="Z1073" s="605">
        <f t="shared" si="305"/>
        <v>0</v>
      </c>
      <c r="AA1073" s="19"/>
      <c r="AB1073" s="605">
        <f t="shared" si="275"/>
        <v>0</v>
      </c>
      <c r="AC1073" s="607">
        <f t="shared" si="288"/>
        <v>0</v>
      </c>
      <c r="AD1073" s="19"/>
      <c r="AE1073" s="19"/>
    </row>
    <row r="1074" spans="1:31" x14ac:dyDescent="0.25">
      <c r="A1074" s="699"/>
      <c r="B1074" s="22"/>
      <c r="C1074" s="148"/>
      <c r="D1074" s="148"/>
      <c r="E1074" s="148"/>
      <c r="F1074" s="101"/>
      <c r="G1074" s="10"/>
      <c r="H1074" s="101"/>
      <c r="I1074" s="148"/>
      <c r="J1074" s="10"/>
      <c r="K1074" s="10"/>
      <c r="L1074" s="19"/>
      <c r="M1074" s="13"/>
      <c r="N1074" s="249"/>
      <c r="O1074" s="19"/>
      <c r="P1074" s="19"/>
      <c r="Q1074" s="19"/>
      <c r="R1074" s="13"/>
      <c r="S1074" s="19"/>
      <c r="T1074" s="19"/>
      <c r="U1074" s="19"/>
      <c r="V1074" s="19"/>
      <c r="W1074" s="19"/>
      <c r="X1074" s="19"/>
      <c r="Y1074" s="19"/>
      <c r="Z1074" s="605">
        <f t="shared" si="305"/>
        <v>0</v>
      </c>
      <c r="AA1074" s="19"/>
      <c r="AB1074" s="605">
        <f t="shared" si="275"/>
        <v>0</v>
      </c>
      <c r="AC1074" s="607">
        <f t="shared" si="288"/>
        <v>0</v>
      </c>
      <c r="AD1074" s="19"/>
      <c r="AE1074" s="19"/>
    </row>
    <row r="1075" spans="1:31" x14ac:dyDescent="0.25">
      <c r="A1075" s="699"/>
      <c r="B1075" s="22"/>
      <c r="C1075" s="148"/>
      <c r="D1075" s="148"/>
      <c r="E1075" s="148"/>
      <c r="F1075" s="101"/>
      <c r="G1075" s="10"/>
      <c r="H1075" s="101"/>
      <c r="I1075" s="148"/>
      <c r="J1075" s="10"/>
      <c r="K1075" s="10"/>
      <c r="L1075" s="19"/>
      <c r="M1075" s="13"/>
      <c r="N1075" s="249"/>
      <c r="O1075" s="19"/>
      <c r="P1075" s="19"/>
      <c r="Q1075" s="19"/>
      <c r="R1075" s="13"/>
      <c r="S1075" s="19"/>
      <c r="T1075" s="19"/>
      <c r="U1075" s="19"/>
      <c r="V1075" s="19"/>
      <c r="W1075" s="19"/>
      <c r="X1075" s="19"/>
      <c r="Y1075" s="19"/>
      <c r="Z1075" s="605">
        <f t="shared" si="305"/>
        <v>0</v>
      </c>
      <c r="AA1075" s="19"/>
      <c r="AB1075" s="605">
        <f t="shared" si="275"/>
        <v>0</v>
      </c>
      <c r="AC1075" s="607">
        <f t="shared" si="288"/>
        <v>0</v>
      </c>
      <c r="AD1075" s="19"/>
      <c r="AE1075" s="19"/>
    </row>
    <row r="1076" spans="1:31" x14ac:dyDescent="0.25">
      <c r="A1076" s="699"/>
      <c r="B1076" s="22"/>
      <c r="C1076" s="148"/>
      <c r="D1076" s="148"/>
      <c r="E1076" s="148"/>
      <c r="F1076" s="101"/>
      <c r="G1076" s="10"/>
      <c r="H1076" s="101"/>
      <c r="I1076" s="148"/>
      <c r="J1076" s="10"/>
      <c r="K1076" s="10"/>
      <c r="L1076" s="19"/>
      <c r="M1076" s="13"/>
      <c r="N1076" s="249"/>
      <c r="O1076" s="19"/>
      <c r="P1076" s="19"/>
      <c r="Q1076" s="19"/>
      <c r="R1076" s="13"/>
      <c r="S1076" s="19"/>
      <c r="T1076" s="19"/>
      <c r="U1076" s="19"/>
      <c r="V1076" s="19"/>
      <c r="W1076" s="19"/>
      <c r="X1076" s="19"/>
      <c r="Y1076" s="19"/>
      <c r="Z1076" s="605">
        <f t="shared" si="305"/>
        <v>0</v>
      </c>
      <c r="AA1076" s="19"/>
      <c r="AB1076" s="605">
        <f t="shared" si="275"/>
        <v>0</v>
      </c>
      <c r="AC1076" s="607">
        <f t="shared" si="288"/>
        <v>0</v>
      </c>
      <c r="AD1076" s="19"/>
      <c r="AE1076" s="19"/>
    </row>
    <row r="1077" spans="1:31" x14ac:dyDescent="0.25">
      <c r="A1077" s="699"/>
      <c r="B1077" s="22"/>
      <c r="C1077" s="148"/>
      <c r="D1077" s="148"/>
      <c r="E1077" s="148"/>
      <c r="F1077" s="101"/>
      <c r="G1077" s="10"/>
      <c r="H1077" s="101"/>
      <c r="I1077" s="148"/>
      <c r="J1077" s="10"/>
      <c r="K1077" s="10"/>
      <c r="L1077" s="19"/>
      <c r="M1077" s="13"/>
      <c r="N1077" s="249"/>
      <c r="O1077" s="19"/>
      <c r="P1077" s="19"/>
      <c r="Q1077" s="19"/>
      <c r="R1077" s="13"/>
      <c r="S1077" s="19"/>
      <c r="T1077" s="19"/>
      <c r="U1077" s="19"/>
      <c r="V1077" s="19"/>
      <c r="W1077" s="19"/>
      <c r="X1077" s="19"/>
      <c r="Y1077" s="19"/>
      <c r="Z1077" s="605">
        <f t="shared" si="305"/>
        <v>0</v>
      </c>
      <c r="AA1077" s="19"/>
      <c r="AB1077" s="605">
        <f t="shared" si="275"/>
        <v>0</v>
      </c>
      <c r="AC1077" s="607">
        <f t="shared" si="288"/>
        <v>0</v>
      </c>
      <c r="AD1077" s="19"/>
      <c r="AE1077" s="19"/>
    </row>
    <row r="1078" spans="1:31" x14ac:dyDescent="0.25">
      <c r="A1078" s="699"/>
      <c r="B1078" s="22"/>
      <c r="C1078" s="148"/>
      <c r="D1078" s="148"/>
      <c r="E1078" s="148"/>
      <c r="F1078" s="101"/>
      <c r="G1078" s="10"/>
      <c r="H1078" s="101"/>
      <c r="I1078" s="148"/>
      <c r="J1078" s="10"/>
      <c r="K1078" s="10"/>
      <c r="L1078" s="19"/>
      <c r="M1078" s="13"/>
      <c r="N1078" s="249"/>
      <c r="O1078" s="19"/>
      <c r="P1078" s="19"/>
      <c r="Q1078" s="19"/>
      <c r="R1078" s="13"/>
      <c r="S1078" s="19"/>
      <c r="T1078" s="19"/>
      <c r="U1078" s="19"/>
      <c r="V1078" s="19"/>
      <c r="W1078" s="19"/>
      <c r="X1078" s="19"/>
      <c r="Y1078" s="19"/>
      <c r="Z1078" s="605">
        <f t="shared" si="305"/>
        <v>0</v>
      </c>
      <c r="AA1078" s="19"/>
      <c r="AB1078" s="605">
        <f t="shared" si="275"/>
        <v>0</v>
      </c>
      <c r="AC1078" s="607">
        <f t="shared" si="288"/>
        <v>0</v>
      </c>
      <c r="AD1078" s="19"/>
      <c r="AE1078" s="19"/>
    </row>
    <row r="1079" spans="1:31" x14ac:dyDescent="0.25">
      <c r="A1079" s="699"/>
      <c r="B1079" s="22"/>
      <c r="C1079" s="148"/>
      <c r="D1079" s="148"/>
      <c r="E1079" s="148"/>
      <c r="F1079" s="101"/>
      <c r="G1079" s="10"/>
      <c r="H1079" s="101"/>
      <c r="I1079" s="148"/>
      <c r="J1079" s="10"/>
      <c r="K1079" s="10"/>
      <c r="L1079" s="19"/>
      <c r="M1079" s="13"/>
      <c r="N1079" s="249"/>
      <c r="O1079" s="19"/>
      <c r="P1079" s="19"/>
      <c r="Q1079" s="19"/>
      <c r="R1079" s="13"/>
      <c r="S1079" s="19"/>
      <c r="T1079" s="19"/>
      <c r="U1079" s="19"/>
      <c r="V1079" s="19"/>
      <c r="W1079" s="19"/>
      <c r="X1079" s="19"/>
      <c r="Y1079" s="19"/>
      <c r="Z1079" s="605">
        <f t="shared" si="305"/>
        <v>0</v>
      </c>
      <c r="AA1079" s="19"/>
      <c r="AB1079" s="605">
        <f t="shared" si="275"/>
        <v>0</v>
      </c>
      <c r="AC1079" s="607">
        <f t="shared" si="288"/>
        <v>0</v>
      </c>
      <c r="AD1079" s="19"/>
      <c r="AE1079" s="19"/>
    </row>
    <row r="1080" spans="1:31" x14ac:dyDescent="0.25">
      <c r="A1080" s="699"/>
      <c r="B1080" s="22"/>
      <c r="C1080" s="148"/>
      <c r="D1080" s="148"/>
      <c r="E1080" s="148"/>
      <c r="F1080" s="101"/>
      <c r="G1080" s="10"/>
      <c r="H1080" s="101"/>
      <c r="I1080" s="148"/>
      <c r="J1080" s="10"/>
      <c r="K1080" s="10"/>
      <c r="L1080" s="19"/>
      <c r="M1080" s="13"/>
      <c r="N1080" s="249"/>
      <c r="O1080" s="19"/>
      <c r="P1080" s="19"/>
      <c r="Q1080" s="19"/>
      <c r="R1080" s="13"/>
      <c r="S1080" s="19"/>
      <c r="T1080" s="19"/>
      <c r="U1080" s="19"/>
      <c r="V1080" s="19"/>
      <c r="W1080" s="19"/>
      <c r="X1080" s="19"/>
      <c r="Y1080" s="19"/>
      <c r="Z1080" s="605">
        <f t="shared" si="305"/>
        <v>0</v>
      </c>
      <c r="AA1080" s="19"/>
      <c r="AB1080" s="605">
        <f t="shared" si="275"/>
        <v>0</v>
      </c>
      <c r="AC1080" s="607">
        <f t="shared" si="288"/>
        <v>0</v>
      </c>
      <c r="AD1080" s="19"/>
      <c r="AE1080" s="19"/>
    </row>
    <row r="1081" spans="1:31" x14ac:dyDescent="0.25">
      <c r="A1081" s="699"/>
      <c r="B1081" s="22"/>
      <c r="C1081" s="148"/>
      <c r="D1081" s="148"/>
      <c r="E1081" s="148"/>
      <c r="F1081" s="101"/>
      <c r="G1081" s="10"/>
      <c r="H1081" s="101"/>
      <c r="I1081" s="148"/>
      <c r="J1081" s="10"/>
      <c r="K1081" s="10"/>
      <c r="L1081" s="19"/>
      <c r="M1081" s="13"/>
      <c r="N1081" s="249"/>
      <c r="O1081" s="19"/>
      <c r="P1081" s="19"/>
      <c r="Q1081" s="19"/>
      <c r="R1081" s="13"/>
      <c r="S1081" s="19"/>
      <c r="T1081" s="19"/>
      <c r="U1081" s="19"/>
      <c r="V1081" s="19"/>
      <c r="W1081" s="19"/>
      <c r="X1081" s="19"/>
      <c r="Y1081" s="19"/>
      <c r="Z1081" s="605">
        <f t="shared" si="305"/>
        <v>0</v>
      </c>
      <c r="AA1081" s="19"/>
      <c r="AB1081" s="605">
        <f t="shared" si="275"/>
        <v>0</v>
      </c>
      <c r="AC1081" s="607">
        <f t="shared" si="288"/>
        <v>0</v>
      </c>
      <c r="AD1081" s="19"/>
      <c r="AE1081" s="19"/>
    </row>
    <row r="1082" spans="1:31" x14ac:dyDescent="0.25">
      <c r="A1082" s="699"/>
      <c r="B1082" s="22"/>
      <c r="C1082" s="148"/>
      <c r="D1082" s="148"/>
      <c r="E1082" s="148"/>
      <c r="F1082" s="101"/>
      <c r="G1082" s="10"/>
      <c r="H1082" s="101"/>
      <c r="I1082" s="148"/>
      <c r="J1082" s="10"/>
      <c r="K1082" s="10"/>
      <c r="L1082" s="19"/>
      <c r="M1082" s="13"/>
      <c r="N1082" s="249"/>
      <c r="O1082" s="19"/>
      <c r="P1082" s="19"/>
      <c r="Q1082" s="19"/>
      <c r="R1082" s="13"/>
      <c r="S1082" s="19"/>
      <c r="T1082" s="19"/>
      <c r="U1082" s="19"/>
      <c r="V1082" s="19"/>
      <c r="W1082" s="19"/>
      <c r="X1082" s="19"/>
      <c r="Y1082" s="19"/>
      <c r="Z1082" s="605">
        <f t="shared" si="305"/>
        <v>0</v>
      </c>
      <c r="AA1082" s="19"/>
      <c r="AB1082" s="605">
        <f t="shared" si="275"/>
        <v>0</v>
      </c>
      <c r="AC1082" s="607">
        <f t="shared" si="288"/>
        <v>0</v>
      </c>
      <c r="AD1082" s="19"/>
      <c r="AE1082" s="19"/>
    </row>
    <row r="1083" spans="1:31" x14ac:dyDescent="0.25">
      <c r="A1083" s="699"/>
      <c r="B1083" s="22"/>
      <c r="C1083" s="148"/>
      <c r="D1083" s="148"/>
      <c r="E1083" s="148"/>
      <c r="F1083" s="101"/>
      <c r="G1083" s="10"/>
      <c r="H1083" s="101"/>
      <c r="I1083" s="148"/>
      <c r="J1083" s="10"/>
      <c r="K1083" s="10"/>
      <c r="L1083" s="19"/>
      <c r="M1083" s="13"/>
      <c r="N1083" s="249"/>
      <c r="O1083" s="19"/>
      <c r="P1083" s="19"/>
      <c r="Q1083" s="19"/>
      <c r="R1083" s="13"/>
      <c r="S1083" s="19"/>
      <c r="T1083" s="19"/>
      <c r="U1083" s="19"/>
      <c r="V1083" s="19"/>
      <c r="W1083" s="19"/>
      <c r="X1083" s="19"/>
      <c r="Y1083" s="19"/>
      <c r="Z1083" s="605">
        <f t="shared" si="305"/>
        <v>0</v>
      </c>
      <c r="AA1083" s="19"/>
      <c r="AB1083" s="605">
        <f t="shared" si="275"/>
        <v>0</v>
      </c>
      <c r="AC1083" s="607">
        <f t="shared" si="288"/>
        <v>0</v>
      </c>
      <c r="AD1083" s="19"/>
      <c r="AE1083" s="19"/>
    </row>
    <row r="1084" spans="1:31" x14ac:dyDescent="0.25">
      <c r="A1084" s="699"/>
      <c r="B1084" s="22"/>
      <c r="C1084" s="148"/>
      <c r="D1084" s="148"/>
      <c r="E1084" s="148"/>
      <c r="F1084" s="101"/>
      <c r="G1084" s="10"/>
      <c r="H1084" s="101"/>
      <c r="I1084" s="148"/>
      <c r="J1084" s="10"/>
      <c r="K1084" s="10"/>
      <c r="L1084" s="19"/>
      <c r="M1084" s="13"/>
      <c r="N1084" s="249"/>
      <c r="O1084" s="19"/>
      <c r="P1084" s="19"/>
      <c r="Q1084" s="19"/>
      <c r="R1084" s="13"/>
      <c r="S1084" s="19"/>
      <c r="T1084" s="19"/>
      <c r="U1084" s="19"/>
      <c r="V1084" s="19"/>
      <c r="W1084" s="19"/>
      <c r="X1084" s="19"/>
      <c r="Y1084" s="19"/>
      <c r="Z1084" s="605">
        <f t="shared" si="305"/>
        <v>0</v>
      </c>
      <c r="AA1084" s="19"/>
      <c r="AB1084" s="605">
        <f t="shared" si="275"/>
        <v>0</v>
      </c>
      <c r="AC1084" s="607">
        <f t="shared" si="288"/>
        <v>0</v>
      </c>
      <c r="AD1084" s="19"/>
      <c r="AE1084" s="19"/>
    </row>
    <row r="1085" spans="1:31" x14ac:dyDescent="0.25">
      <c r="A1085" s="699"/>
      <c r="B1085" s="22"/>
      <c r="C1085" s="148"/>
      <c r="D1085" s="148"/>
      <c r="E1085" s="148"/>
      <c r="F1085" s="101"/>
      <c r="G1085" s="10"/>
      <c r="H1085" s="101"/>
      <c r="I1085" s="148"/>
      <c r="J1085" s="10"/>
      <c r="K1085" s="10"/>
      <c r="L1085" s="19"/>
      <c r="M1085" s="13"/>
      <c r="N1085" s="249"/>
      <c r="O1085" s="19"/>
      <c r="P1085" s="19"/>
      <c r="Q1085" s="19"/>
      <c r="R1085" s="13"/>
      <c r="S1085" s="19"/>
      <c r="T1085" s="19"/>
      <c r="U1085" s="19"/>
      <c r="V1085" s="19"/>
      <c r="W1085" s="19"/>
      <c r="X1085" s="19"/>
      <c r="Y1085" s="19"/>
      <c r="Z1085" s="605">
        <f t="shared" si="305"/>
        <v>0</v>
      </c>
      <c r="AA1085" s="19"/>
      <c r="AB1085" s="605">
        <f t="shared" si="275"/>
        <v>0</v>
      </c>
      <c r="AC1085" s="607">
        <f t="shared" si="288"/>
        <v>0</v>
      </c>
      <c r="AD1085" s="19"/>
      <c r="AE1085" s="19"/>
    </row>
    <row r="1086" spans="1:31" x14ac:dyDescent="0.25">
      <c r="A1086" s="699"/>
      <c r="B1086" s="22"/>
      <c r="C1086" s="148"/>
      <c r="D1086" s="148"/>
      <c r="E1086" s="148"/>
      <c r="F1086" s="101"/>
      <c r="G1086" s="10"/>
      <c r="H1086" s="101"/>
      <c r="I1086" s="148"/>
      <c r="J1086" s="10"/>
      <c r="K1086" s="10"/>
      <c r="L1086" s="19"/>
      <c r="M1086" s="13"/>
      <c r="N1086" s="249"/>
      <c r="O1086" s="19"/>
      <c r="P1086" s="19"/>
      <c r="Q1086" s="19"/>
      <c r="R1086" s="13"/>
      <c r="S1086" s="19"/>
      <c r="T1086" s="19"/>
      <c r="U1086" s="19"/>
      <c r="V1086" s="19"/>
      <c r="W1086" s="19"/>
      <c r="X1086" s="19"/>
      <c r="Y1086" s="19"/>
      <c r="Z1086" s="605">
        <f t="shared" si="305"/>
        <v>0</v>
      </c>
      <c r="AA1086" s="19"/>
      <c r="AB1086" s="605">
        <f t="shared" si="275"/>
        <v>0</v>
      </c>
      <c r="AC1086" s="607">
        <f t="shared" si="288"/>
        <v>0</v>
      </c>
      <c r="AD1086" s="19"/>
      <c r="AE1086" s="19"/>
    </row>
    <row r="1087" spans="1:31" x14ac:dyDescent="0.25">
      <c r="A1087" s="699"/>
      <c r="B1087" s="22"/>
      <c r="C1087" s="148"/>
      <c r="D1087" s="148"/>
      <c r="E1087" s="148"/>
      <c r="F1087" s="101"/>
      <c r="G1087" s="10"/>
      <c r="H1087" s="101"/>
      <c r="I1087" s="148"/>
      <c r="J1087" s="10"/>
      <c r="K1087" s="10"/>
      <c r="L1087" s="19"/>
      <c r="M1087" s="13"/>
      <c r="N1087" s="249"/>
      <c r="O1087" s="19"/>
      <c r="P1087" s="19"/>
      <c r="Q1087" s="19"/>
      <c r="R1087" s="13"/>
      <c r="S1087" s="19"/>
      <c r="T1087" s="19"/>
      <c r="U1087" s="19"/>
      <c r="V1087" s="19"/>
      <c r="W1087" s="19"/>
      <c r="X1087" s="19"/>
      <c r="Y1087" s="19"/>
      <c r="Z1087" s="605">
        <f t="shared" si="305"/>
        <v>0</v>
      </c>
      <c r="AA1087" s="19"/>
      <c r="AB1087" s="605">
        <f t="shared" si="275"/>
        <v>0</v>
      </c>
      <c r="AC1087" s="607">
        <f t="shared" si="288"/>
        <v>0</v>
      </c>
      <c r="AD1087" s="19"/>
      <c r="AE1087" s="19"/>
    </row>
    <row r="1088" spans="1:31" x14ac:dyDescent="0.25">
      <c r="A1088" s="699"/>
      <c r="B1088" s="22"/>
      <c r="C1088" s="148"/>
      <c r="D1088" s="148"/>
      <c r="E1088" s="148"/>
      <c r="F1088" s="101"/>
      <c r="G1088" s="10"/>
      <c r="H1088" s="101"/>
      <c r="I1088" s="148"/>
      <c r="J1088" s="10"/>
      <c r="K1088" s="10"/>
      <c r="L1088" s="19"/>
      <c r="M1088" s="13"/>
      <c r="N1088" s="249"/>
      <c r="O1088" s="19"/>
      <c r="P1088" s="19"/>
      <c r="Q1088" s="19"/>
      <c r="R1088" s="13"/>
      <c r="S1088" s="19"/>
      <c r="T1088" s="19"/>
      <c r="U1088" s="19"/>
      <c r="V1088" s="19"/>
      <c r="W1088" s="19"/>
      <c r="X1088" s="19"/>
      <c r="Y1088" s="19"/>
      <c r="Z1088" s="605">
        <f t="shared" si="305"/>
        <v>0</v>
      </c>
      <c r="AA1088" s="19"/>
      <c r="AB1088" s="605">
        <f t="shared" si="275"/>
        <v>0</v>
      </c>
      <c r="AC1088" s="607">
        <f t="shared" si="288"/>
        <v>0</v>
      </c>
      <c r="AD1088" s="19"/>
      <c r="AE1088" s="19"/>
    </row>
    <row r="1089" spans="1:31" x14ac:dyDescent="0.25">
      <c r="A1089" s="699"/>
      <c r="B1089" s="22"/>
      <c r="C1089" s="148"/>
      <c r="D1089" s="148"/>
      <c r="E1089" s="148"/>
      <c r="F1089" s="101"/>
      <c r="G1089" s="10"/>
      <c r="H1089" s="101"/>
      <c r="I1089" s="148"/>
      <c r="J1089" s="10"/>
      <c r="K1089" s="10"/>
      <c r="L1089" s="19"/>
      <c r="M1089" s="13"/>
      <c r="N1089" s="249"/>
      <c r="O1089" s="19"/>
      <c r="P1089" s="19"/>
      <c r="Q1089" s="19"/>
      <c r="R1089" s="13"/>
      <c r="S1089" s="19"/>
      <c r="T1089" s="19"/>
      <c r="U1089" s="19"/>
      <c r="V1089" s="19"/>
      <c r="W1089" s="19"/>
      <c r="X1089" s="19"/>
      <c r="Y1089" s="19"/>
      <c r="Z1089" s="605">
        <f t="shared" si="305"/>
        <v>0</v>
      </c>
      <c r="AA1089" s="19"/>
      <c r="AB1089" s="605">
        <f t="shared" si="275"/>
        <v>0</v>
      </c>
      <c r="AC1089" s="607">
        <f t="shared" si="288"/>
        <v>0</v>
      </c>
      <c r="AD1089" s="19"/>
      <c r="AE1089" s="19"/>
    </row>
    <row r="1090" spans="1:31" x14ac:dyDescent="0.25">
      <c r="A1090" s="311">
        <v>1055</v>
      </c>
      <c r="B1090" s="19"/>
      <c r="C1090" s="148"/>
      <c r="D1090" s="148"/>
      <c r="E1090" s="148"/>
      <c r="F1090" s="101"/>
      <c r="G1090" s="10"/>
      <c r="H1090" s="101"/>
      <c r="I1090" s="148"/>
      <c r="J1090" s="10"/>
      <c r="K1090" s="10"/>
      <c r="L1090" s="19"/>
      <c r="M1090" s="13"/>
      <c r="N1090" s="249"/>
      <c r="O1090" s="19"/>
      <c r="P1090" s="19"/>
      <c r="Q1090" s="19"/>
      <c r="R1090" s="13"/>
      <c r="S1090" s="19"/>
      <c r="T1090" s="19"/>
      <c r="U1090" s="19"/>
      <c r="V1090" s="19"/>
      <c r="W1090" s="19"/>
      <c r="X1090" s="19"/>
      <c r="Y1090" s="19"/>
      <c r="Z1090" s="605">
        <f t="shared" si="305"/>
        <v>0</v>
      </c>
      <c r="AA1090" s="19"/>
      <c r="AB1090" s="605">
        <f t="shared" si="275"/>
        <v>0</v>
      </c>
      <c r="AC1090" s="607">
        <f t="shared" si="288"/>
        <v>0</v>
      </c>
      <c r="AD1090" s="19"/>
      <c r="AE1090" s="19"/>
    </row>
    <row r="1091" spans="1:31" s="272" customFormat="1" ht="31.5" x14ac:dyDescent="0.25">
      <c r="A1091" s="698">
        <v>1056</v>
      </c>
      <c r="B1091" s="373">
        <v>44105</v>
      </c>
      <c r="C1091" s="358" t="s">
        <v>6951</v>
      </c>
      <c r="D1091" s="358"/>
      <c r="E1091" s="358"/>
      <c r="F1091" s="335" t="s">
        <v>6950</v>
      </c>
      <c r="G1091" s="269"/>
      <c r="H1091" s="335" t="s">
        <v>6955</v>
      </c>
      <c r="I1091" s="358"/>
      <c r="J1091" s="269" t="s">
        <v>6952</v>
      </c>
      <c r="K1091" s="269"/>
      <c r="L1091" s="266"/>
      <c r="M1091" s="278"/>
      <c r="N1091" s="439"/>
      <c r="O1091" s="678" t="s">
        <v>4918</v>
      </c>
      <c r="P1091" s="678" t="s">
        <v>180</v>
      </c>
      <c r="Q1091" s="507">
        <v>300</v>
      </c>
      <c r="R1091" s="549">
        <v>500000</v>
      </c>
      <c r="S1091" s="507">
        <v>300000</v>
      </c>
      <c r="T1091" s="279">
        <f t="shared" ref="T1091:T1092" si="306">R1091+S1091</f>
        <v>800000</v>
      </c>
      <c r="U1091" s="266"/>
      <c r="V1091" s="266"/>
      <c r="W1091" s="266"/>
      <c r="X1091" s="266"/>
      <c r="Y1091" s="266"/>
      <c r="Z1091" s="605">
        <f t="shared" si="305"/>
        <v>0</v>
      </c>
      <c r="AA1091" s="266"/>
      <c r="AB1091" s="605">
        <f t="shared" ref="AB1091" si="307">T1091*0.65</f>
        <v>520000</v>
      </c>
      <c r="AC1091" s="607">
        <f t="shared" si="288"/>
        <v>520000</v>
      </c>
      <c r="AD1091" s="266"/>
      <c r="AE1091" s="266"/>
    </row>
    <row r="1092" spans="1:31" s="272" customFormat="1" ht="47.25" x14ac:dyDescent="0.25">
      <c r="A1092" s="701">
        <v>1057</v>
      </c>
      <c r="B1092" s="373">
        <v>44105</v>
      </c>
      <c r="C1092" s="358" t="s">
        <v>6953</v>
      </c>
      <c r="D1092" s="358"/>
      <c r="E1092" s="358" t="s">
        <v>2404</v>
      </c>
      <c r="F1092" s="335" t="s">
        <v>6954</v>
      </c>
      <c r="G1092" s="269"/>
      <c r="H1092" s="335" t="s">
        <v>1177</v>
      </c>
      <c r="I1092" s="358" t="s">
        <v>6956</v>
      </c>
      <c r="J1092" s="269"/>
      <c r="K1092" s="269"/>
      <c r="L1092" s="266"/>
      <c r="M1092" s="278"/>
      <c r="N1092" s="439"/>
      <c r="O1092" s="266" t="s">
        <v>5712</v>
      </c>
      <c r="P1092" s="649" t="s">
        <v>180</v>
      </c>
      <c r="Q1092" s="508">
        <v>100</v>
      </c>
      <c r="R1092" s="415">
        <v>500000</v>
      </c>
      <c r="S1092" s="508"/>
      <c r="T1092" s="280">
        <f t="shared" si="306"/>
        <v>500000</v>
      </c>
      <c r="U1092" s="266"/>
      <c r="V1092" s="266"/>
      <c r="W1092" s="266"/>
      <c r="X1092" s="266"/>
      <c r="Y1092" s="271">
        <v>0.4</v>
      </c>
      <c r="Z1092" s="605">
        <f t="shared" ref="Z1092:Z1153" si="308">T1092*Y1092</f>
        <v>200000</v>
      </c>
      <c r="AA1092" s="266"/>
      <c r="AB1092" s="605">
        <f t="shared" ref="AB1092:AB1154" si="309">T1092*0.65</f>
        <v>325000</v>
      </c>
      <c r="AC1092" s="607">
        <f t="shared" si="288"/>
        <v>125000</v>
      </c>
      <c r="AD1092" s="266"/>
      <c r="AE1092" s="266"/>
    </row>
    <row r="1093" spans="1:31" ht="47.25" x14ac:dyDescent="0.25">
      <c r="A1093" s="700">
        <v>1058</v>
      </c>
      <c r="B1093" s="22">
        <v>44105</v>
      </c>
      <c r="C1093" s="148" t="s">
        <v>6957</v>
      </c>
      <c r="D1093" s="148"/>
      <c r="E1093" s="148" t="s">
        <v>2404</v>
      </c>
      <c r="F1093" s="101" t="s">
        <v>6958</v>
      </c>
      <c r="G1093" s="10"/>
      <c r="H1093" s="101" t="s">
        <v>1177</v>
      </c>
      <c r="I1093" s="148" t="s">
        <v>6959</v>
      </c>
      <c r="J1093" s="10"/>
      <c r="K1093" s="10"/>
      <c r="L1093" s="19"/>
      <c r="M1093" s="13"/>
      <c r="N1093" s="249"/>
      <c r="O1093" s="19" t="s">
        <v>4483</v>
      </c>
      <c r="P1093" s="19"/>
      <c r="Q1093" s="19"/>
      <c r="R1093" s="13"/>
      <c r="S1093" s="19"/>
      <c r="T1093" s="19"/>
      <c r="U1093" s="19"/>
      <c r="V1093" s="19"/>
      <c r="W1093" s="19"/>
      <c r="X1093" s="19"/>
      <c r="Y1093" s="19"/>
      <c r="Z1093" s="376">
        <f t="shared" si="308"/>
        <v>0</v>
      </c>
      <c r="AA1093" s="19"/>
      <c r="AB1093" s="376">
        <f t="shared" si="309"/>
        <v>0</v>
      </c>
      <c r="AC1093" s="38">
        <f t="shared" si="288"/>
        <v>0</v>
      </c>
      <c r="AD1093" s="19"/>
      <c r="AE1093" s="19"/>
    </row>
    <row r="1094" spans="1:31" ht="47.25" x14ac:dyDescent="0.25">
      <c r="A1094" s="113">
        <v>1059</v>
      </c>
      <c r="B1094" s="22">
        <v>44105</v>
      </c>
      <c r="C1094" s="148" t="s">
        <v>6960</v>
      </c>
      <c r="D1094" s="148"/>
      <c r="E1094" s="148" t="s">
        <v>2404</v>
      </c>
      <c r="F1094" s="101" t="s">
        <v>6961</v>
      </c>
      <c r="G1094" s="10"/>
      <c r="H1094" s="101" t="s">
        <v>1177</v>
      </c>
      <c r="I1094" s="148" t="s">
        <v>6962</v>
      </c>
      <c r="J1094" s="10"/>
      <c r="K1094" s="10"/>
      <c r="L1094" s="19"/>
      <c r="M1094" s="13"/>
      <c r="N1094" s="249"/>
      <c r="O1094" s="19" t="s">
        <v>5712</v>
      </c>
      <c r="P1094" s="693" t="s">
        <v>180</v>
      </c>
      <c r="Q1094" s="365">
        <v>100</v>
      </c>
      <c r="R1094" s="364">
        <v>500000</v>
      </c>
      <c r="S1094" s="365"/>
      <c r="T1094" s="219">
        <f t="shared" ref="T1094" si="310">R1094+S1094</f>
        <v>500000</v>
      </c>
      <c r="U1094" s="19"/>
      <c r="V1094" s="19"/>
      <c r="W1094" s="19"/>
      <c r="X1094" s="19"/>
      <c r="Y1094" s="165">
        <v>0.4</v>
      </c>
      <c r="Z1094" s="376">
        <f t="shared" ref="Z1094" si="311">T1094*Y1094</f>
        <v>200000</v>
      </c>
      <c r="AA1094" s="19"/>
      <c r="AB1094" s="376">
        <f t="shared" si="309"/>
        <v>325000</v>
      </c>
      <c r="AC1094" s="38">
        <f t="shared" si="288"/>
        <v>125000</v>
      </c>
      <c r="AD1094" s="19" t="s">
        <v>6963</v>
      </c>
      <c r="AE1094" s="19"/>
    </row>
    <row r="1095" spans="1:31" ht="47.25" x14ac:dyDescent="0.25">
      <c r="A1095" s="699">
        <v>1060</v>
      </c>
      <c r="B1095" s="22">
        <v>44105</v>
      </c>
      <c r="C1095" s="148" t="s">
        <v>6964</v>
      </c>
      <c r="D1095" s="148"/>
      <c r="E1095" s="148" t="s">
        <v>2404</v>
      </c>
      <c r="F1095" s="101" t="s">
        <v>6965</v>
      </c>
      <c r="G1095" s="10"/>
      <c r="H1095" s="101" t="s">
        <v>1177</v>
      </c>
      <c r="I1095" s="148" t="s">
        <v>6966</v>
      </c>
      <c r="J1095" s="10"/>
      <c r="K1095" s="10"/>
      <c r="L1095" s="19"/>
      <c r="M1095" s="13"/>
      <c r="N1095" s="249"/>
      <c r="O1095" s="19" t="s">
        <v>5712</v>
      </c>
      <c r="P1095" s="693" t="s">
        <v>180</v>
      </c>
      <c r="Q1095" s="365">
        <v>100</v>
      </c>
      <c r="R1095" s="364">
        <v>500000</v>
      </c>
      <c r="S1095" s="365"/>
      <c r="T1095" s="219">
        <f t="shared" ref="T1095:T1096" si="312">R1095+S1095</f>
        <v>500000</v>
      </c>
      <c r="U1095" s="19"/>
      <c r="V1095" s="19"/>
      <c r="W1095" s="19"/>
      <c r="X1095" s="19"/>
      <c r="Y1095" s="165">
        <v>0.4</v>
      </c>
      <c r="Z1095" s="376">
        <f t="shared" si="308"/>
        <v>200000</v>
      </c>
      <c r="AA1095" s="19"/>
      <c r="AB1095" s="376">
        <f t="shared" si="309"/>
        <v>325000</v>
      </c>
      <c r="AC1095" s="38">
        <f t="shared" si="288"/>
        <v>125000</v>
      </c>
      <c r="AD1095" s="19" t="s">
        <v>6967</v>
      </c>
      <c r="AE1095" s="19"/>
    </row>
    <row r="1096" spans="1:31" s="272" customFormat="1" ht="31.5" x14ac:dyDescent="0.25">
      <c r="A1096" s="311">
        <v>1061</v>
      </c>
      <c r="B1096" s="373">
        <v>44106</v>
      </c>
      <c r="C1096" s="358" t="s">
        <v>6968</v>
      </c>
      <c r="D1096" s="358" t="s">
        <v>3622</v>
      </c>
      <c r="E1096" s="358" t="s">
        <v>3622</v>
      </c>
      <c r="F1096" s="335" t="s">
        <v>6823</v>
      </c>
      <c r="G1096" s="269"/>
      <c r="H1096" s="335" t="s">
        <v>5432</v>
      </c>
      <c r="I1096" s="358" t="s">
        <v>6824</v>
      </c>
      <c r="J1096" s="269"/>
      <c r="K1096" s="269"/>
      <c r="L1096" s="266"/>
      <c r="M1096" s="278"/>
      <c r="N1096" s="439"/>
      <c r="O1096" s="678" t="s">
        <v>4918</v>
      </c>
      <c r="P1096" s="678" t="s">
        <v>180</v>
      </c>
      <c r="Q1096" s="507">
        <v>300</v>
      </c>
      <c r="R1096" s="549">
        <v>500000</v>
      </c>
      <c r="S1096" s="507">
        <v>300000</v>
      </c>
      <c r="T1096" s="279">
        <f t="shared" si="312"/>
        <v>800000</v>
      </c>
      <c r="U1096" s="266"/>
      <c r="V1096" s="266"/>
      <c r="W1096" s="266"/>
      <c r="X1096" s="266"/>
      <c r="Y1096" s="271">
        <v>0.4</v>
      </c>
      <c r="Z1096" s="605">
        <f t="shared" si="308"/>
        <v>320000</v>
      </c>
      <c r="AA1096" s="266"/>
      <c r="AB1096" s="605">
        <f t="shared" si="309"/>
        <v>520000</v>
      </c>
      <c r="AC1096" s="607">
        <f t="shared" si="288"/>
        <v>200000</v>
      </c>
      <c r="AD1096" s="266"/>
      <c r="AE1096" s="266"/>
    </row>
    <row r="1097" spans="1:31" ht="47.25" x14ac:dyDescent="0.25">
      <c r="A1097" s="113">
        <v>1062</v>
      </c>
      <c r="B1097" s="22">
        <v>44106</v>
      </c>
      <c r="C1097" s="148" t="s">
        <v>6969</v>
      </c>
      <c r="D1097" s="148"/>
      <c r="E1097" s="148" t="s">
        <v>2404</v>
      </c>
      <c r="F1097" s="101" t="s">
        <v>6970</v>
      </c>
      <c r="G1097" s="10"/>
      <c r="H1097" s="101" t="s">
        <v>1177</v>
      </c>
      <c r="I1097" s="148" t="s">
        <v>6971</v>
      </c>
      <c r="J1097" s="10"/>
      <c r="K1097" s="10"/>
      <c r="L1097" s="19"/>
      <c r="M1097" s="13"/>
      <c r="N1097" s="249"/>
      <c r="O1097" s="19" t="s">
        <v>5712</v>
      </c>
      <c r="P1097" s="693" t="s">
        <v>180</v>
      </c>
      <c r="Q1097" s="365">
        <v>100</v>
      </c>
      <c r="R1097" s="364">
        <v>500000</v>
      </c>
      <c r="S1097" s="365"/>
      <c r="T1097" s="219">
        <f t="shared" ref="T1097" si="313">R1097+S1097</f>
        <v>500000</v>
      </c>
      <c r="U1097" s="19"/>
      <c r="V1097" s="19"/>
      <c r="W1097" s="19"/>
      <c r="X1097" s="19"/>
      <c r="Y1097" s="165">
        <v>0.4</v>
      </c>
      <c r="Z1097" s="376">
        <f t="shared" ref="Z1097" si="314">T1097*Y1097</f>
        <v>200000</v>
      </c>
      <c r="AA1097" s="19"/>
      <c r="AB1097" s="376">
        <f t="shared" si="309"/>
        <v>325000</v>
      </c>
      <c r="AC1097" s="38">
        <f t="shared" si="288"/>
        <v>125000</v>
      </c>
      <c r="AD1097" s="19" t="s">
        <v>6972</v>
      </c>
      <c r="AE1097" s="19"/>
    </row>
    <row r="1098" spans="1:31" ht="47.25" x14ac:dyDescent="0.25">
      <c r="A1098" s="699">
        <v>1063</v>
      </c>
      <c r="B1098" s="22">
        <v>44107</v>
      </c>
      <c r="C1098" s="148" t="s">
        <v>6985</v>
      </c>
      <c r="D1098" s="148"/>
      <c r="E1098" s="148" t="s">
        <v>2404</v>
      </c>
      <c r="F1098" s="101" t="s">
        <v>6987</v>
      </c>
      <c r="G1098" s="10"/>
      <c r="H1098" s="101" t="s">
        <v>1177</v>
      </c>
      <c r="I1098" s="148" t="s">
        <v>6986</v>
      </c>
      <c r="J1098" s="10"/>
      <c r="K1098" s="10"/>
      <c r="L1098" s="19"/>
      <c r="M1098" s="13"/>
      <c r="N1098" s="249"/>
      <c r="O1098" s="19" t="s">
        <v>4483</v>
      </c>
      <c r="P1098" s="19"/>
      <c r="Q1098" s="19"/>
      <c r="R1098" s="13"/>
      <c r="S1098" s="19"/>
      <c r="T1098" s="19"/>
      <c r="U1098" s="19"/>
      <c r="V1098" s="19"/>
      <c r="W1098" s="19"/>
      <c r="X1098" s="19"/>
      <c r="Y1098" s="19"/>
      <c r="Z1098" s="605">
        <f t="shared" si="308"/>
        <v>0</v>
      </c>
      <c r="AA1098" s="19"/>
      <c r="AB1098" s="605">
        <f t="shared" si="309"/>
        <v>0</v>
      </c>
      <c r="AC1098" s="607">
        <f t="shared" si="288"/>
        <v>0</v>
      </c>
      <c r="AD1098" s="19"/>
      <c r="AE1098" s="19"/>
    </row>
    <row r="1099" spans="1:31" s="272" customFormat="1" ht="47.25" x14ac:dyDescent="0.25">
      <c r="A1099" s="311">
        <v>1064</v>
      </c>
      <c r="B1099" s="373">
        <v>44107</v>
      </c>
      <c r="C1099" s="358" t="s">
        <v>6988</v>
      </c>
      <c r="D1099" s="358"/>
      <c r="E1099" s="358" t="s">
        <v>2404</v>
      </c>
      <c r="F1099" s="335" t="s">
        <v>6989</v>
      </c>
      <c r="G1099" s="269"/>
      <c r="H1099" s="335" t="s">
        <v>1177</v>
      </c>
      <c r="I1099" s="358" t="s">
        <v>6990</v>
      </c>
      <c r="J1099" s="269"/>
      <c r="K1099" s="269"/>
      <c r="L1099" s="266"/>
      <c r="M1099" s="278"/>
      <c r="N1099" s="439"/>
      <c r="O1099" s="266" t="s">
        <v>5712</v>
      </c>
      <c r="P1099" s="649" t="s">
        <v>180</v>
      </c>
      <c r="Q1099" s="508">
        <v>100</v>
      </c>
      <c r="R1099" s="415">
        <v>500000</v>
      </c>
      <c r="S1099" s="508"/>
      <c r="T1099" s="280">
        <f t="shared" ref="T1099:T1100" si="315">R1099+S1099</f>
        <v>500000</v>
      </c>
      <c r="U1099" s="266"/>
      <c r="V1099" s="266"/>
      <c r="W1099" s="266"/>
      <c r="X1099" s="266"/>
      <c r="Y1099" s="271">
        <v>0.4</v>
      </c>
      <c r="Z1099" s="605">
        <f t="shared" si="308"/>
        <v>200000</v>
      </c>
      <c r="AA1099" s="266"/>
      <c r="AB1099" s="605">
        <f t="shared" si="309"/>
        <v>325000</v>
      </c>
      <c r="AC1099" s="607">
        <f t="shared" si="288"/>
        <v>125000</v>
      </c>
      <c r="AD1099" s="266"/>
      <c r="AE1099" s="266"/>
    </row>
    <row r="1100" spans="1:31" s="272" customFormat="1" ht="47.25" x14ac:dyDescent="0.25">
      <c r="A1100" s="698">
        <v>1065</v>
      </c>
      <c r="B1100" s="373">
        <v>44107</v>
      </c>
      <c r="C1100" s="358" t="s">
        <v>6991</v>
      </c>
      <c r="D1100" s="358"/>
      <c r="E1100" s="358" t="s">
        <v>3479</v>
      </c>
      <c r="F1100" s="335" t="s">
        <v>6992</v>
      </c>
      <c r="G1100" s="269"/>
      <c r="H1100" s="335" t="s">
        <v>168</v>
      </c>
      <c r="I1100" s="358" t="s">
        <v>6993</v>
      </c>
      <c r="J1100" s="269"/>
      <c r="K1100" s="269"/>
      <c r="L1100" s="266"/>
      <c r="M1100" s="278"/>
      <c r="N1100" s="439"/>
      <c r="O1100" s="266" t="s">
        <v>4932</v>
      </c>
      <c r="P1100" s="649" t="s">
        <v>180</v>
      </c>
      <c r="Q1100" s="508">
        <v>500</v>
      </c>
      <c r="R1100" s="415">
        <v>500000</v>
      </c>
      <c r="S1100" s="508">
        <v>425000</v>
      </c>
      <c r="T1100" s="280">
        <f t="shared" si="315"/>
        <v>925000</v>
      </c>
      <c r="U1100" s="266"/>
      <c r="V1100" s="266"/>
      <c r="W1100" s="266"/>
      <c r="X1100" s="266"/>
      <c r="Y1100" s="271">
        <v>0.4</v>
      </c>
      <c r="Z1100" s="605">
        <f t="shared" si="308"/>
        <v>370000</v>
      </c>
      <c r="AA1100" s="266"/>
      <c r="AB1100" s="605">
        <f t="shared" si="309"/>
        <v>601250</v>
      </c>
      <c r="AC1100" s="607">
        <f t="shared" si="288"/>
        <v>231250</v>
      </c>
      <c r="AD1100" s="266"/>
      <c r="AE1100" s="266"/>
    </row>
    <row r="1101" spans="1:31" ht="47.25" x14ac:dyDescent="0.25">
      <c r="A1101" s="699">
        <v>1066</v>
      </c>
      <c r="B1101" s="22">
        <v>44107</v>
      </c>
      <c r="C1101" s="148" t="s">
        <v>6994</v>
      </c>
      <c r="D1101" s="148"/>
      <c r="E1101" s="148" t="s">
        <v>2404</v>
      </c>
      <c r="F1101" s="101" t="s">
        <v>6996</v>
      </c>
      <c r="G1101" s="10"/>
      <c r="H1101" s="101" t="s">
        <v>1177</v>
      </c>
      <c r="I1101" s="148" t="s">
        <v>6995</v>
      </c>
      <c r="J1101" s="10"/>
      <c r="K1101" s="10"/>
      <c r="L1101" s="19"/>
      <c r="M1101" s="13"/>
      <c r="N1101" s="249"/>
      <c r="O1101" s="19" t="s">
        <v>4483</v>
      </c>
      <c r="P1101" s="19"/>
      <c r="Q1101" s="19"/>
      <c r="R1101" s="13"/>
      <c r="S1101" s="19"/>
      <c r="T1101" s="19"/>
      <c r="U1101" s="19"/>
      <c r="V1101" s="19"/>
      <c r="W1101" s="19"/>
      <c r="X1101" s="19"/>
      <c r="Y1101" s="19"/>
      <c r="Z1101" s="376">
        <f t="shared" si="308"/>
        <v>0</v>
      </c>
      <c r="AA1101" s="19"/>
      <c r="AB1101" s="376">
        <f t="shared" si="309"/>
        <v>0</v>
      </c>
      <c r="AC1101" s="38">
        <f t="shared" si="288"/>
        <v>0</v>
      </c>
      <c r="AD1101" s="19"/>
      <c r="AE1101" s="19"/>
    </row>
    <row r="1102" spans="1:31" ht="47.25" x14ac:dyDescent="0.25">
      <c r="A1102" s="700">
        <v>1067</v>
      </c>
      <c r="B1102" s="22">
        <v>44109</v>
      </c>
      <c r="C1102" s="148" t="s">
        <v>6998</v>
      </c>
      <c r="D1102" s="148"/>
      <c r="E1102" s="148" t="s">
        <v>2404</v>
      </c>
      <c r="F1102" s="101" t="s">
        <v>6999</v>
      </c>
      <c r="G1102" s="10"/>
      <c r="H1102" s="101" t="s">
        <v>7001</v>
      </c>
      <c r="I1102" s="148" t="s">
        <v>7000</v>
      </c>
      <c r="J1102" s="10"/>
      <c r="K1102" s="10"/>
      <c r="L1102" s="19"/>
      <c r="M1102" s="13"/>
      <c r="N1102" s="249"/>
      <c r="O1102" s="19" t="s">
        <v>4932</v>
      </c>
      <c r="P1102" s="693" t="s">
        <v>180</v>
      </c>
      <c r="Q1102" s="365">
        <v>500</v>
      </c>
      <c r="R1102" s="364">
        <v>500000</v>
      </c>
      <c r="S1102" s="365">
        <v>425000</v>
      </c>
      <c r="T1102" s="219">
        <f t="shared" ref="T1102" si="316">R1102+S1102</f>
        <v>925000</v>
      </c>
      <c r="U1102" s="19"/>
      <c r="V1102" s="19"/>
      <c r="W1102" s="19"/>
      <c r="X1102" s="19"/>
      <c r="Y1102" s="165">
        <v>0.4</v>
      </c>
      <c r="Z1102" s="376">
        <f t="shared" si="308"/>
        <v>370000</v>
      </c>
      <c r="AA1102" s="19"/>
      <c r="AB1102" s="376">
        <f t="shared" si="309"/>
        <v>601250</v>
      </c>
      <c r="AC1102" s="38">
        <f t="shared" si="288"/>
        <v>231250</v>
      </c>
      <c r="AD1102" s="19" t="s">
        <v>6997</v>
      </c>
    </row>
    <row r="1103" spans="1:31" ht="47.25" x14ac:dyDescent="0.25">
      <c r="A1103" s="113">
        <v>1068</v>
      </c>
      <c r="B1103" s="22">
        <v>44109</v>
      </c>
      <c r="C1103" s="148" t="s">
        <v>7002</v>
      </c>
      <c r="D1103" s="148"/>
      <c r="E1103" s="148" t="s">
        <v>2404</v>
      </c>
      <c r="F1103" s="101" t="s">
        <v>7004</v>
      </c>
      <c r="G1103" s="10"/>
      <c r="H1103" s="101" t="s">
        <v>1177</v>
      </c>
      <c r="I1103" s="148" t="s">
        <v>7003</v>
      </c>
      <c r="J1103" s="10"/>
      <c r="K1103" s="10"/>
      <c r="L1103" s="19"/>
      <c r="M1103" s="13"/>
      <c r="N1103" s="249"/>
      <c r="O1103" s="19" t="s">
        <v>4483</v>
      </c>
      <c r="P1103" s="19"/>
      <c r="Q1103" s="19"/>
      <c r="R1103" s="13"/>
      <c r="S1103" s="19"/>
      <c r="T1103" s="19"/>
      <c r="U1103" s="19"/>
      <c r="V1103" s="19"/>
      <c r="W1103" s="19"/>
      <c r="X1103" s="19"/>
      <c r="Y1103" s="19"/>
      <c r="Z1103" s="605">
        <f t="shared" si="308"/>
        <v>0</v>
      </c>
      <c r="AA1103" s="19"/>
      <c r="AB1103" s="605">
        <f t="shared" si="309"/>
        <v>0</v>
      </c>
      <c r="AC1103" s="607">
        <f t="shared" si="288"/>
        <v>0</v>
      </c>
      <c r="AD1103" s="19"/>
      <c r="AE1103" s="19"/>
    </row>
    <row r="1104" spans="1:31" s="272" customFormat="1" ht="47.25" x14ac:dyDescent="0.25">
      <c r="A1104" s="701">
        <v>1069</v>
      </c>
      <c r="B1104" s="373">
        <v>44109</v>
      </c>
      <c r="C1104" s="358" t="s">
        <v>7005</v>
      </c>
      <c r="D1104" s="358" t="s">
        <v>1686</v>
      </c>
      <c r="E1104" s="358"/>
      <c r="F1104" s="335" t="s">
        <v>7007</v>
      </c>
      <c r="G1104" s="269"/>
      <c r="H1104" s="335" t="s">
        <v>2199</v>
      </c>
      <c r="I1104" s="358" t="s">
        <v>7006</v>
      </c>
      <c r="J1104" s="269"/>
      <c r="K1104" s="269"/>
      <c r="L1104" s="266"/>
      <c r="M1104" s="278"/>
      <c r="N1104" s="439"/>
      <c r="O1104" s="678" t="s">
        <v>4918</v>
      </c>
      <c r="P1104" s="678" t="s">
        <v>180</v>
      </c>
      <c r="Q1104" s="507">
        <v>300</v>
      </c>
      <c r="R1104" s="549">
        <v>500000</v>
      </c>
      <c r="S1104" s="507">
        <v>300000</v>
      </c>
      <c r="T1104" s="279">
        <f t="shared" ref="T1104" si="317">R1104+S1104</f>
        <v>800000</v>
      </c>
      <c r="U1104" s="266"/>
      <c r="V1104" s="266"/>
      <c r="W1104" s="266"/>
      <c r="X1104" s="266"/>
      <c r="Y1104" s="271">
        <v>0.47</v>
      </c>
      <c r="Z1104" s="605">
        <f>T1104*Y1104</f>
        <v>376000</v>
      </c>
      <c r="AA1104" s="266"/>
      <c r="AB1104" s="605">
        <f t="shared" si="309"/>
        <v>520000</v>
      </c>
      <c r="AC1104" s="607">
        <f t="shared" si="288"/>
        <v>144000</v>
      </c>
      <c r="AD1104" s="266"/>
      <c r="AE1104" s="266"/>
    </row>
    <row r="1105" spans="1:31" s="272" customFormat="1" ht="31.5" x14ac:dyDescent="0.25">
      <c r="A1105" s="311">
        <v>1070</v>
      </c>
      <c r="B1105" s="373">
        <v>44109</v>
      </c>
      <c r="C1105" s="358" t="s">
        <v>7008</v>
      </c>
      <c r="D1105" s="358"/>
      <c r="E1105" s="358" t="s">
        <v>3646</v>
      </c>
      <c r="F1105" s="335" t="s">
        <v>7009</v>
      </c>
      <c r="G1105" s="269"/>
      <c r="H1105" s="335" t="s">
        <v>3499</v>
      </c>
      <c r="I1105" s="358" t="s">
        <v>6831</v>
      </c>
      <c r="J1105" s="498" t="s">
        <v>7011</v>
      </c>
      <c r="K1105" s="380" t="s">
        <v>7010</v>
      </c>
      <c r="L1105" s="266"/>
      <c r="M1105" s="278"/>
      <c r="N1105" s="439"/>
      <c r="O1105" s="678" t="s">
        <v>4918</v>
      </c>
      <c r="P1105" s="678" t="s">
        <v>180</v>
      </c>
      <c r="Q1105" s="507">
        <v>300</v>
      </c>
      <c r="R1105" s="549">
        <v>500000</v>
      </c>
      <c r="S1105" s="507">
        <v>300000</v>
      </c>
      <c r="T1105" s="279">
        <f t="shared" ref="T1105" si="318">R1105+S1105</f>
        <v>800000</v>
      </c>
      <c r="U1105" s="266"/>
      <c r="V1105" s="266"/>
      <c r="W1105" s="266"/>
      <c r="X1105" s="266"/>
      <c r="Y1105" s="271">
        <v>0.4</v>
      </c>
      <c r="Z1105" s="605">
        <f t="shared" si="308"/>
        <v>320000</v>
      </c>
      <c r="AA1105" s="266"/>
      <c r="AB1105" s="605">
        <f t="shared" si="309"/>
        <v>520000</v>
      </c>
      <c r="AC1105" s="607">
        <f t="shared" si="288"/>
        <v>200000</v>
      </c>
      <c r="AD1105" s="266"/>
      <c r="AE1105" s="266"/>
    </row>
    <row r="1106" spans="1:31" s="272" customFormat="1" ht="47.25" x14ac:dyDescent="0.25">
      <c r="A1106" s="698">
        <v>1071</v>
      </c>
      <c r="B1106" s="373">
        <v>44110</v>
      </c>
      <c r="C1106" s="358" t="s">
        <v>7012</v>
      </c>
      <c r="D1106" s="358"/>
      <c r="E1106" s="358" t="s">
        <v>3646</v>
      </c>
      <c r="F1106" s="335" t="s">
        <v>7014</v>
      </c>
      <c r="G1106" s="269"/>
      <c r="H1106" s="335" t="s">
        <v>7015</v>
      </c>
      <c r="I1106" s="358" t="s">
        <v>7013</v>
      </c>
      <c r="J1106" s="269"/>
      <c r="K1106" s="269"/>
      <c r="L1106" s="266"/>
      <c r="M1106" s="278"/>
      <c r="N1106" s="439"/>
      <c r="O1106" s="678" t="s">
        <v>4918</v>
      </c>
      <c r="P1106" s="678" t="s">
        <v>180</v>
      </c>
      <c r="Q1106" s="507">
        <v>300</v>
      </c>
      <c r="R1106" s="549">
        <v>500000</v>
      </c>
      <c r="S1106" s="507">
        <v>300000</v>
      </c>
      <c r="T1106" s="279">
        <f t="shared" ref="T1106" si="319">R1106+S1106</f>
        <v>800000</v>
      </c>
      <c r="U1106" s="266"/>
      <c r="V1106" s="266"/>
      <c r="W1106" s="266"/>
      <c r="X1106" s="266"/>
      <c r="Y1106" s="271">
        <v>0.4</v>
      </c>
      <c r="Z1106" s="605">
        <f t="shared" si="308"/>
        <v>320000</v>
      </c>
      <c r="AA1106" s="266"/>
      <c r="AB1106" s="605">
        <f t="shared" si="309"/>
        <v>520000</v>
      </c>
      <c r="AC1106" s="607">
        <f t="shared" si="288"/>
        <v>200000</v>
      </c>
      <c r="AD1106" s="266"/>
      <c r="AE1106" s="266"/>
    </row>
    <row r="1107" spans="1:31" s="272" customFormat="1" ht="47.25" x14ac:dyDescent="0.25">
      <c r="A1107" s="701">
        <v>1072</v>
      </c>
      <c r="B1107" s="373">
        <v>44110</v>
      </c>
      <c r="C1107" s="358" t="s">
        <v>1937</v>
      </c>
      <c r="D1107" s="358"/>
      <c r="E1107" s="358" t="s">
        <v>3646</v>
      </c>
      <c r="F1107" s="335" t="s">
        <v>1939</v>
      </c>
      <c r="G1107" s="269"/>
      <c r="H1107" s="335" t="s">
        <v>7017</v>
      </c>
      <c r="I1107" s="358" t="s">
        <v>7016</v>
      </c>
      <c r="J1107" s="269" t="s">
        <v>7018</v>
      </c>
      <c r="K1107" s="269"/>
      <c r="L1107" s="266"/>
      <c r="M1107" s="278"/>
      <c r="N1107" s="439"/>
      <c r="O1107" s="678" t="s">
        <v>4918</v>
      </c>
      <c r="P1107" s="678" t="s">
        <v>180</v>
      </c>
      <c r="Q1107" s="507">
        <v>300</v>
      </c>
      <c r="R1107" s="549">
        <v>500000</v>
      </c>
      <c r="S1107" s="507">
        <v>300000</v>
      </c>
      <c r="T1107" s="279">
        <f t="shared" ref="T1107" si="320">R1107+S1107</f>
        <v>800000</v>
      </c>
      <c r="U1107" s="266"/>
      <c r="V1107" s="266"/>
      <c r="W1107" s="266"/>
      <c r="X1107" s="266"/>
      <c r="Y1107" s="271">
        <v>0.4</v>
      </c>
      <c r="Z1107" s="605">
        <f t="shared" si="308"/>
        <v>320000</v>
      </c>
      <c r="AA1107" s="266"/>
      <c r="AB1107" s="605">
        <f t="shared" si="309"/>
        <v>520000</v>
      </c>
      <c r="AC1107" s="607">
        <f t="shared" si="288"/>
        <v>200000</v>
      </c>
      <c r="AD1107" s="266"/>
      <c r="AE1107" s="266"/>
    </row>
    <row r="1108" spans="1:31" s="272" customFormat="1" ht="47.25" x14ac:dyDescent="0.25">
      <c r="A1108" s="311">
        <v>1073</v>
      </c>
      <c r="B1108" s="373">
        <v>44111</v>
      </c>
      <c r="C1108" s="358" t="s">
        <v>7031</v>
      </c>
      <c r="D1108" s="358"/>
      <c r="E1108" s="358" t="s">
        <v>3646</v>
      </c>
      <c r="F1108" s="335" t="s">
        <v>7032</v>
      </c>
      <c r="G1108" s="269"/>
      <c r="H1108" s="335" t="s">
        <v>273</v>
      </c>
      <c r="I1108" s="358" t="s">
        <v>7033</v>
      </c>
      <c r="J1108" s="269" t="s">
        <v>7034</v>
      </c>
      <c r="K1108" s="269"/>
      <c r="L1108" s="266"/>
      <c r="M1108" s="278"/>
      <c r="N1108" s="439"/>
      <c r="O1108" s="678" t="s">
        <v>4918</v>
      </c>
      <c r="P1108" s="678" t="s">
        <v>180</v>
      </c>
      <c r="Q1108" s="507">
        <v>300</v>
      </c>
      <c r="R1108" s="549">
        <v>500000</v>
      </c>
      <c r="S1108" s="507">
        <v>300000</v>
      </c>
      <c r="T1108" s="279">
        <f t="shared" ref="T1108:T1113" si="321">R1108+S1108</f>
        <v>800000</v>
      </c>
      <c r="U1108" s="266"/>
      <c r="V1108" s="266"/>
      <c r="W1108" s="266"/>
      <c r="X1108" s="266"/>
      <c r="Y1108" s="271">
        <v>0.4</v>
      </c>
      <c r="Z1108" s="605">
        <f t="shared" si="308"/>
        <v>320000</v>
      </c>
      <c r="AA1108" s="266"/>
      <c r="AB1108" s="605">
        <f t="shared" si="309"/>
        <v>520000</v>
      </c>
      <c r="AC1108" s="607">
        <f t="shared" si="288"/>
        <v>200000</v>
      </c>
      <c r="AD1108" s="266"/>
      <c r="AE1108" s="266"/>
    </row>
    <row r="1109" spans="1:31" ht="47.25" x14ac:dyDescent="0.25">
      <c r="A1109" s="113">
        <v>1074</v>
      </c>
      <c r="B1109" s="22">
        <v>44111</v>
      </c>
      <c r="C1109" s="148" t="s">
        <v>7035</v>
      </c>
      <c r="D1109" s="148"/>
      <c r="E1109" s="148" t="s">
        <v>2404</v>
      </c>
      <c r="F1109" s="101" t="s">
        <v>7036</v>
      </c>
      <c r="G1109" s="10"/>
      <c r="H1109" s="101" t="s">
        <v>1177</v>
      </c>
      <c r="I1109" s="148" t="s">
        <v>7037</v>
      </c>
      <c r="J1109" s="10"/>
      <c r="K1109" s="10"/>
      <c r="L1109" s="19"/>
      <c r="M1109" s="13"/>
      <c r="N1109" s="249"/>
      <c r="O1109" s="19" t="s">
        <v>5712</v>
      </c>
      <c r="P1109" s="693" t="s">
        <v>180</v>
      </c>
      <c r="Q1109" s="365">
        <v>100</v>
      </c>
      <c r="R1109" s="364">
        <v>500000</v>
      </c>
      <c r="S1109" s="365"/>
      <c r="T1109" s="219">
        <f t="shared" si="321"/>
        <v>500000</v>
      </c>
      <c r="U1109" s="19"/>
      <c r="V1109" s="19"/>
      <c r="W1109" s="19"/>
      <c r="X1109" s="19"/>
      <c r="Y1109" s="165">
        <v>0.4</v>
      </c>
      <c r="Z1109" s="376">
        <f t="shared" ref="Z1109:Z1110" si="322">T1109*Y1109</f>
        <v>200000</v>
      </c>
      <c r="AA1109" s="19"/>
      <c r="AB1109" s="376">
        <f t="shared" si="309"/>
        <v>325000</v>
      </c>
      <c r="AC1109" s="38">
        <f t="shared" si="288"/>
        <v>125000</v>
      </c>
      <c r="AD1109" s="19" t="s">
        <v>7038</v>
      </c>
      <c r="AE1109" s="19"/>
    </row>
    <row r="1110" spans="1:31" ht="63" x14ac:dyDescent="0.25">
      <c r="A1110" s="699">
        <v>1075</v>
      </c>
      <c r="B1110" s="22">
        <v>44112</v>
      </c>
      <c r="C1110" s="148" t="s">
        <v>7039</v>
      </c>
      <c r="D1110" s="148"/>
      <c r="E1110" s="148" t="s">
        <v>3646</v>
      </c>
      <c r="F1110" s="101" t="s">
        <v>7040</v>
      </c>
      <c r="G1110" s="10"/>
      <c r="H1110" s="101" t="s">
        <v>7042</v>
      </c>
      <c r="I1110" s="148" t="s">
        <v>7041</v>
      </c>
      <c r="J1110" s="10" t="s">
        <v>7043</v>
      </c>
      <c r="K1110" s="10" t="s">
        <v>7044</v>
      </c>
      <c r="L1110" s="19"/>
      <c r="M1110" s="13"/>
      <c r="N1110" s="249"/>
      <c r="O1110" s="19" t="s">
        <v>4932</v>
      </c>
      <c r="P1110" s="693" t="s">
        <v>180</v>
      </c>
      <c r="Q1110" s="365">
        <v>500</v>
      </c>
      <c r="R1110" s="364">
        <v>500000</v>
      </c>
      <c r="S1110" s="365">
        <v>425000</v>
      </c>
      <c r="T1110" s="219">
        <f t="shared" si="321"/>
        <v>925000</v>
      </c>
      <c r="U1110" s="19"/>
      <c r="V1110" s="19"/>
      <c r="W1110" s="19"/>
      <c r="X1110" s="19"/>
      <c r="Y1110" s="165">
        <v>0.4</v>
      </c>
      <c r="Z1110" s="376">
        <f t="shared" si="322"/>
        <v>370000</v>
      </c>
      <c r="AA1110" s="19"/>
      <c r="AB1110" s="376">
        <f t="shared" si="309"/>
        <v>601250</v>
      </c>
      <c r="AC1110" s="38">
        <f t="shared" si="288"/>
        <v>231250</v>
      </c>
      <c r="AD1110" s="19" t="s">
        <v>7471</v>
      </c>
      <c r="AE1110" s="19"/>
    </row>
    <row r="1111" spans="1:31" s="272" customFormat="1" ht="63" x14ac:dyDescent="0.25">
      <c r="A1111" s="311">
        <v>1076</v>
      </c>
      <c r="B1111" s="373">
        <v>44112</v>
      </c>
      <c r="C1111" s="358" t="s">
        <v>2197</v>
      </c>
      <c r="D1111" s="358" t="s">
        <v>1686</v>
      </c>
      <c r="E1111" s="358"/>
      <c r="F1111" s="335" t="s">
        <v>2196</v>
      </c>
      <c r="G1111" s="269"/>
      <c r="H1111" s="335" t="s">
        <v>2199</v>
      </c>
      <c r="I1111" s="358" t="s">
        <v>2200</v>
      </c>
      <c r="J1111" s="269"/>
      <c r="K1111" s="269"/>
      <c r="L1111" s="266"/>
      <c r="M1111" s="278"/>
      <c r="N1111" s="439"/>
      <c r="O1111" s="649" t="s">
        <v>5963</v>
      </c>
      <c r="P1111" s="649" t="s">
        <v>94</v>
      </c>
      <c r="Q1111" s="508">
        <v>1000</v>
      </c>
      <c r="R1111" s="415"/>
      <c r="S1111" s="508">
        <v>675000</v>
      </c>
      <c r="T1111" s="280">
        <f t="shared" si="321"/>
        <v>675000</v>
      </c>
      <c r="U1111" s="266"/>
      <c r="V1111" s="266"/>
      <c r="W1111" s="266"/>
      <c r="X1111" s="266"/>
      <c r="Y1111" s="271">
        <v>0.47</v>
      </c>
      <c r="Z1111" s="605">
        <f t="shared" si="308"/>
        <v>317250</v>
      </c>
      <c r="AA1111" s="266"/>
      <c r="AB1111" s="605">
        <f t="shared" si="309"/>
        <v>438750</v>
      </c>
      <c r="AC1111" s="607">
        <f t="shared" si="288"/>
        <v>121500</v>
      </c>
      <c r="AD1111" s="266"/>
      <c r="AE1111" s="266"/>
    </row>
    <row r="1112" spans="1:31" s="272" customFormat="1" ht="63" x14ac:dyDescent="0.25">
      <c r="A1112" s="698">
        <v>1077</v>
      </c>
      <c r="B1112" s="373">
        <v>44112</v>
      </c>
      <c r="C1112" s="358" t="s">
        <v>7045</v>
      </c>
      <c r="D1112" s="358"/>
      <c r="E1112" s="358" t="s">
        <v>5768</v>
      </c>
      <c r="F1112" s="335" t="s">
        <v>7046</v>
      </c>
      <c r="G1112" s="269"/>
      <c r="H1112" s="335" t="s">
        <v>849</v>
      </c>
      <c r="I1112" s="358" t="s">
        <v>7047</v>
      </c>
      <c r="J1112" s="269" t="s">
        <v>7051</v>
      </c>
      <c r="K1112" s="269"/>
      <c r="L1112" s="266"/>
      <c r="M1112" s="278"/>
      <c r="N1112" s="439"/>
      <c r="O1112" s="678" t="s">
        <v>4918</v>
      </c>
      <c r="P1112" s="678" t="s">
        <v>180</v>
      </c>
      <c r="Q1112" s="507">
        <v>300</v>
      </c>
      <c r="R1112" s="549">
        <v>500000</v>
      </c>
      <c r="S1112" s="507">
        <v>300000</v>
      </c>
      <c r="T1112" s="279">
        <f t="shared" si="321"/>
        <v>800000</v>
      </c>
      <c r="U1112" s="266"/>
      <c r="V1112" s="266"/>
      <c r="W1112" s="266"/>
      <c r="X1112" s="266"/>
      <c r="Y1112" s="271">
        <v>0.4</v>
      </c>
      <c r="Z1112" s="605">
        <f t="shared" si="308"/>
        <v>320000</v>
      </c>
      <c r="AA1112" s="266"/>
      <c r="AB1112" s="605">
        <f t="shared" si="309"/>
        <v>520000</v>
      </c>
      <c r="AC1112" s="607">
        <f t="shared" ref="AC1112:AC1175" si="323">AB1112-Z1112</f>
        <v>200000</v>
      </c>
      <c r="AD1112" s="266"/>
      <c r="AE1112" s="266"/>
    </row>
    <row r="1113" spans="1:31" s="272" customFormat="1" ht="47.25" x14ac:dyDescent="0.25">
      <c r="A1113" s="701">
        <v>1078</v>
      </c>
      <c r="B1113" s="373">
        <v>44112</v>
      </c>
      <c r="C1113" s="358" t="s">
        <v>7048</v>
      </c>
      <c r="D1113" s="358"/>
      <c r="E1113" s="358" t="s">
        <v>5768</v>
      </c>
      <c r="F1113" s="335" t="s">
        <v>7049</v>
      </c>
      <c r="G1113" s="269"/>
      <c r="H1113" s="335" t="s">
        <v>849</v>
      </c>
      <c r="I1113" s="358" t="s">
        <v>7050</v>
      </c>
      <c r="J1113" s="269" t="s">
        <v>7051</v>
      </c>
      <c r="K1113" s="269"/>
      <c r="L1113" s="266"/>
      <c r="M1113" s="278"/>
      <c r="N1113" s="439"/>
      <c r="O1113" s="266" t="s">
        <v>5712</v>
      </c>
      <c r="P1113" s="649" t="s">
        <v>180</v>
      </c>
      <c r="Q1113" s="508">
        <v>100</v>
      </c>
      <c r="R1113" s="415">
        <v>500000</v>
      </c>
      <c r="S1113" s="508"/>
      <c r="T1113" s="280">
        <f t="shared" si="321"/>
        <v>500000</v>
      </c>
      <c r="U1113" s="266"/>
      <c r="V1113" s="266"/>
      <c r="W1113" s="266"/>
      <c r="X1113" s="266"/>
      <c r="Y1113" s="271">
        <v>0.4</v>
      </c>
      <c r="Z1113" s="605">
        <f t="shared" si="308"/>
        <v>200000</v>
      </c>
      <c r="AA1113" s="266"/>
      <c r="AB1113" s="605">
        <f t="shared" si="309"/>
        <v>325000</v>
      </c>
      <c r="AC1113" s="607">
        <f t="shared" si="323"/>
        <v>125000</v>
      </c>
      <c r="AD1113" s="266"/>
      <c r="AE1113" s="266"/>
    </row>
    <row r="1114" spans="1:31" ht="47.25" x14ac:dyDescent="0.25">
      <c r="A1114" s="700">
        <v>1079</v>
      </c>
      <c r="B1114" s="22">
        <v>44114</v>
      </c>
      <c r="C1114" s="148" t="s">
        <v>7052</v>
      </c>
      <c r="D1114" s="148"/>
      <c r="E1114" s="148" t="s">
        <v>3646</v>
      </c>
      <c r="F1114" s="101" t="s">
        <v>7054</v>
      </c>
      <c r="G1114" s="269"/>
      <c r="H1114" s="101" t="s">
        <v>849</v>
      </c>
      <c r="I1114" s="148" t="s">
        <v>7053</v>
      </c>
      <c r="J1114" s="10" t="s">
        <v>7055</v>
      </c>
      <c r="K1114" s="10"/>
      <c r="L1114" s="19"/>
      <c r="M1114" s="278"/>
      <c r="N1114" s="249"/>
      <c r="O1114" s="777" t="s">
        <v>4918</v>
      </c>
      <c r="P1114" s="777" t="s">
        <v>180</v>
      </c>
      <c r="Q1114" s="356">
        <v>300</v>
      </c>
      <c r="R1114" s="350">
        <v>500000</v>
      </c>
      <c r="S1114" s="356">
        <v>300000</v>
      </c>
      <c r="T1114" s="99">
        <f t="shared" ref="T1114" si="324">R1114+S1114</f>
        <v>800000</v>
      </c>
      <c r="U1114" s="266"/>
      <c r="V1114" s="266"/>
      <c r="W1114" s="266"/>
      <c r="X1114" s="266"/>
      <c r="Y1114" s="165">
        <v>0.4</v>
      </c>
      <c r="Z1114" s="376">
        <f t="shared" si="308"/>
        <v>320000</v>
      </c>
      <c r="AA1114" s="19"/>
      <c r="AB1114" s="376">
        <f t="shared" si="309"/>
        <v>520000</v>
      </c>
      <c r="AC1114" s="38">
        <f t="shared" si="323"/>
        <v>200000</v>
      </c>
      <c r="AD1114" s="19" t="s">
        <v>7629</v>
      </c>
      <c r="AE1114" s="19"/>
    </row>
    <row r="1115" spans="1:31" ht="63" x14ac:dyDescent="0.25">
      <c r="A1115" s="113">
        <v>1080</v>
      </c>
      <c r="B1115" s="22">
        <v>44114</v>
      </c>
      <c r="C1115" s="148" t="s">
        <v>7056</v>
      </c>
      <c r="D1115" s="148"/>
      <c r="E1115" s="148" t="s">
        <v>3646</v>
      </c>
      <c r="F1115" s="101" t="s">
        <v>7057</v>
      </c>
      <c r="G1115" s="269"/>
      <c r="H1115" s="101" t="s">
        <v>849</v>
      </c>
      <c r="I1115" s="148" t="s">
        <v>7058</v>
      </c>
      <c r="J1115" s="10" t="s">
        <v>7055</v>
      </c>
      <c r="K1115" s="10"/>
      <c r="L1115" s="19"/>
      <c r="M1115" s="278"/>
      <c r="N1115" s="249"/>
      <c r="O1115" s="777" t="s">
        <v>4918</v>
      </c>
      <c r="P1115" s="777" t="s">
        <v>180</v>
      </c>
      <c r="Q1115" s="356">
        <v>300</v>
      </c>
      <c r="R1115" s="350">
        <v>500000</v>
      </c>
      <c r="S1115" s="356">
        <v>300000</v>
      </c>
      <c r="T1115" s="99">
        <f t="shared" ref="T1115" si="325">R1115+S1115</f>
        <v>800000</v>
      </c>
      <c r="U1115" s="266"/>
      <c r="V1115" s="266"/>
      <c r="W1115" s="266"/>
      <c r="X1115" s="266"/>
      <c r="Y1115" s="165">
        <v>0.4</v>
      </c>
      <c r="Z1115" s="376">
        <f t="shared" si="308"/>
        <v>320000</v>
      </c>
      <c r="AA1115" s="19"/>
      <c r="AB1115" s="376">
        <f t="shared" si="309"/>
        <v>520000</v>
      </c>
      <c r="AC1115" s="38">
        <f t="shared" si="323"/>
        <v>200000</v>
      </c>
      <c r="AD1115" s="19" t="s">
        <v>7629</v>
      </c>
      <c r="AE1115" s="19"/>
    </row>
    <row r="1116" spans="1:31" ht="47.25" x14ac:dyDescent="0.25">
      <c r="A1116" s="699">
        <v>1081</v>
      </c>
      <c r="B1116" s="22">
        <v>44114</v>
      </c>
      <c r="C1116" s="148" t="s">
        <v>7059</v>
      </c>
      <c r="D1116" s="148"/>
      <c r="E1116" s="148" t="s">
        <v>3646</v>
      </c>
      <c r="F1116" s="101" t="s">
        <v>7060</v>
      </c>
      <c r="G1116" s="269"/>
      <c r="H1116" s="101" t="s">
        <v>849</v>
      </c>
      <c r="I1116" s="148" t="s">
        <v>7061</v>
      </c>
      <c r="J1116" s="10" t="s">
        <v>7055</v>
      </c>
      <c r="K1116" s="10"/>
      <c r="L1116" s="19"/>
      <c r="M1116" s="278"/>
      <c r="N1116" s="249"/>
      <c r="O1116" s="777" t="s">
        <v>4918</v>
      </c>
      <c r="P1116" s="777" t="s">
        <v>180</v>
      </c>
      <c r="Q1116" s="356">
        <v>300</v>
      </c>
      <c r="R1116" s="350">
        <v>500000</v>
      </c>
      <c r="S1116" s="356">
        <v>300000</v>
      </c>
      <c r="T1116" s="99">
        <f t="shared" ref="T1116" si="326">R1116+S1116</f>
        <v>800000</v>
      </c>
      <c r="U1116" s="266"/>
      <c r="V1116" s="266"/>
      <c r="W1116" s="266"/>
      <c r="X1116" s="266"/>
      <c r="Y1116" s="165">
        <v>0.4</v>
      </c>
      <c r="Z1116" s="376">
        <f t="shared" si="308"/>
        <v>320000</v>
      </c>
      <c r="AA1116" s="19"/>
      <c r="AB1116" s="376">
        <f t="shared" si="309"/>
        <v>520000</v>
      </c>
      <c r="AC1116" s="38">
        <f t="shared" si="323"/>
        <v>200000</v>
      </c>
      <c r="AD1116" s="19" t="s">
        <v>7629</v>
      </c>
      <c r="AE1116" s="19"/>
    </row>
    <row r="1117" spans="1:31" ht="47.25" x14ac:dyDescent="0.25">
      <c r="A1117" s="700">
        <v>1082</v>
      </c>
      <c r="B1117" s="22">
        <v>44114</v>
      </c>
      <c r="C1117" s="148" t="s">
        <v>7062</v>
      </c>
      <c r="D1117" s="148"/>
      <c r="E1117" s="148" t="s">
        <v>3646</v>
      </c>
      <c r="F1117" s="101" t="s">
        <v>7063</v>
      </c>
      <c r="G1117" s="269"/>
      <c r="H1117" s="101" t="s">
        <v>849</v>
      </c>
      <c r="I1117" s="148" t="s">
        <v>7064</v>
      </c>
      <c r="J1117" s="10" t="s">
        <v>7055</v>
      </c>
      <c r="K1117" s="10"/>
      <c r="L1117" s="19"/>
      <c r="M1117" s="278"/>
      <c r="N1117" s="249"/>
      <c r="O1117" s="777" t="s">
        <v>4918</v>
      </c>
      <c r="P1117" s="777" t="s">
        <v>180</v>
      </c>
      <c r="Q1117" s="356">
        <v>300</v>
      </c>
      <c r="R1117" s="350">
        <v>500000</v>
      </c>
      <c r="S1117" s="356">
        <v>300000</v>
      </c>
      <c r="T1117" s="99">
        <f t="shared" ref="T1117:T1118" si="327">R1117+S1117</f>
        <v>800000</v>
      </c>
      <c r="U1117" s="266"/>
      <c r="V1117" s="266"/>
      <c r="W1117" s="266"/>
      <c r="X1117" s="266"/>
      <c r="Y1117" s="165">
        <v>0.4</v>
      </c>
      <c r="Z1117" s="376">
        <f t="shared" si="308"/>
        <v>320000</v>
      </c>
      <c r="AA1117" s="19"/>
      <c r="AB1117" s="376">
        <f t="shared" si="309"/>
        <v>520000</v>
      </c>
      <c r="AC1117" s="38">
        <f t="shared" si="323"/>
        <v>200000</v>
      </c>
      <c r="AD1117" s="19" t="s">
        <v>7629</v>
      </c>
      <c r="AE1117" s="19"/>
    </row>
    <row r="1118" spans="1:31" s="7" customFormat="1" ht="47.25" x14ac:dyDescent="0.25">
      <c r="A1118" s="715">
        <v>1083</v>
      </c>
      <c r="B1118" s="122">
        <v>44116</v>
      </c>
      <c r="C1118" s="157" t="s">
        <v>6876</v>
      </c>
      <c r="D1118" s="157"/>
      <c r="E1118" s="157" t="s">
        <v>3646</v>
      </c>
      <c r="F1118" s="29" t="s">
        <v>6877</v>
      </c>
      <c r="G1118" s="10"/>
      <c r="H1118" s="29" t="s">
        <v>1639</v>
      </c>
      <c r="I1118" s="157" t="s">
        <v>6878</v>
      </c>
      <c r="J1118" s="10" t="s">
        <v>7065</v>
      </c>
      <c r="K1118" s="10"/>
      <c r="L1118" s="10"/>
      <c r="M1118" s="11"/>
      <c r="N1118" s="249"/>
      <c r="O1118" s="777" t="s">
        <v>5963</v>
      </c>
      <c r="P1118" s="777" t="s">
        <v>180</v>
      </c>
      <c r="Q1118" s="356">
        <v>1000</v>
      </c>
      <c r="R1118" s="350">
        <v>500000</v>
      </c>
      <c r="S1118" s="356">
        <v>675000</v>
      </c>
      <c r="T1118" s="99">
        <f t="shared" si="327"/>
        <v>1175000</v>
      </c>
      <c r="U1118" s="10"/>
      <c r="V1118" s="10"/>
      <c r="W1118" s="10"/>
      <c r="X1118" s="10"/>
      <c r="Y1118" s="98"/>
      <c r="Z1118" s="376">
        <f t="shared" si="308"/>
        <v>0</v>
      </c>
      <c r="AA1118" s="10"/>
      <c r="AB1118" s="38">
        <f t="shared" si="309"/>
        <v>763750</v>
      </c>
      <c r="AC1118" s="38">
        <f t="shared" si="323"/>
        <v>763750</v>
      </c>
      <c r="AD1118" s="10"/>
      <c r="AE1118" s="10"/>
    </row>
    <row r="1119" spans="1:31" s="272" customFormat="1" ht="63" x14ac:dyDescent="0.25">
      <c r="A1119" s="701">
        <v>1084</v>
      </c>
      <c r="B1119" s="373">
        <v>44116</v>
      </c>
      <c r="C1119" s="358" t="s">
        <v>7066</v>
      </c>
      <c r="D1119" s="358"/>
      <c r="E1119" s="358" t="s">
        <v>2404</v>
      </c>
      <c r="F1119" s="335" t="s">
        <v>7067</v>
      </c>
      <c r="G1119" s="269"/>
      <c r="H1119" s="335" t="s">
        <v>1177</v>
      </c>
      <c r="I1119" s="358" t="s">
        <v>7068</v>
      </c>
      <c r="J1119" s="269"/>
      <c r="K1119" s="269"/>
      <c r="L1119" s="266"/>
      <c r="M1119" s="278"/>
      <c r="N1119" s="439"/>
      <c r="O1119" s="678" t="s">
        <v>4918</v>
      </c>
      <c r="P1119" s="678" t="s">
        <v>94</v>
      </c>
      <c r="Q1119" s="507">
        <v>300</v>
      </c>
      <c r="R1119" s="549"/>
      <c r="S1119" s="507">
        <v>300000</v>
      </c>
      <c r="T1119" s="279">
        <f t="shared" ref="T1119:T1120" si="328">R1119+S1119</f>
        <v>300000</v>
      </c>
      <c r="U1119" s="266"/>
      <c r="V1119" s="266"/>
      <c r="W1119" s="266"/>
      <c r="X1119" s="266"/>
      <c r="Y1119" s="271">
        <v>0.4</v>
      </c>
      <c r="Z1119" s="605">
        <f t="shared" si="308"/>
        <v>120000</v>
      </c>
      <c r="AA1119" s="266"/>
      <c r="AB1119" s="605">
        <f t="shared" si="309"/>
        <v>195000</v>
      </c>
      <c r="AC1119" s="607">
        <f t="shared" si="323"/>
        <v>75000</v>
      </c>
      <c r="AD1119" s="266"/>
      <c r="AE1119" s="266"/>
    </row>
    <row r="1120" spans="1:31" s="7" customFormat="1" ht="63" x14ac:dyDescent="0.25">
      <c r="A1120" s="700">
        <v>1085</v>
      </c>
      <c r="B1120" s="122">
        <v>44116</v>
      </c>
      <c r="C1120" s="157" t="s">
        <v>7069</v>
      </c>
      <c r="D1120" s="157"/>
      <c r="E1120" s="157" t="s">
        <v>3646</v>
      </c>
      <c r="F1120" s="29" t="s">
        <v>7071</v>
      </c>
      <c r="G1120" s="10"/>
      <c r="H1120" s="29" t="s">
        <v>849</v>
      </c>
      <c r="I1120" s="157" t="s">
        <v>7070</v>
      </c>
      <c r="J1120" s="10" t="s">
        <v>7072</v>
      </c>
      <c r="K1120" s="10"/>
      <c r="L1120" s="10"/>
      <c r="M1120" s="11"/>
      <c r="N1120" s="249"/>
      <c r="O1120" s="777" t="s">
        <v>5963</v>
      </c>
      <c r="P1120" s="777" t="s">
        <v>180</v>
      </c>
      <c r="Q1120" s="356">
        <v>1000</v>
      </c>
      <c r="R1120" s="350">
        <v>500000</v>
      </c>
      <c r="S1120" s="356">
        <v>675000</v>
      </c>
      <c r="T1120" s="99">
        <f t="shared" si="328"/>
        <v>1175000</v>
      </c>
      <c r="U1120" s="10"/>
      <c r="V1120" s="10"/>
      <c r="W1120" s="10"/>
      <c r="X1120" s="10"/>
      <c r="Y1120" s="98">
        <v>0.4</v>
      </c>
      <c r="Z1120" s="376">
        <f t="shared" si="308"/>
        <v>470000</v>
      </c>
      <c r="AA1120" s="10"/>
      <c r="AB1120" s="38">
        <f t="shared" si="309"/>
        <v>763750</v>
      </c>
      <c r="AC1120" s="38">
        <f t="shared" si="323"/>
        <v>293750</v>
      </c>
      <c r="AD1120" s="10" t="s">
        <v>7470</v>
      </c>
      <c r="AE1120" s="10"/>
    </row>
    <row r="1121" spans="1:31" s="272" customFormat="1" ht="31.5" x14ac:dyDescent="0.25">
      <c r="A1121" s="698">
        <v>1086</v>
      </c>
      <c r="B1121" s="517">
        <v>44116</v>
      </c>
      <c r="C1121" s="358" t="s">
        <v>7073</v>
      </c>
      <c r="D1121" s="358"/>
      <c r="E1121" s="358" t="s">
        <v>4753</v>
      </c>
      <c r="F1121" s="335" t="s">
        <v>7074</v>
      </c>
      <c r="G1121" s="269"/>
      <c r="H1121" s="335" t="s">
        <v>168</v>
      </c>
      <c r="I1121" s="358" t="s">
        <v>7075</v>
      </c>
      <c r="J1121" s="269"/>
      <c r="K1121" s="269"/>
      <c r="L1121" s="266"/>
      <c r="M1121" s="278"/>
      <c r="N1121" s="439"/>
      <c r="O1121" s="678" t="s">
        <v>4918</v>
      </c>
      <c r="P1121" s="678" t="s">
        <v>94</v>
      </c>
      <c r="Q1121" s="507">
        <v>300</v>
      </c>
      <c r="R1121" s="549"/>
      <c r="S1121" s="507">
        <v>300000</v>
      </c>
      <c r="T1121" s="279">
        <f t="shared" ref="T1121:T1123" si="329">R1121+S1121</f>
        <v>300000</v>
      </c>
      <c r="U1121" s="266"/>
      <c r="V1121" s="266"/>
      <c r="W1121" s="266"/>
      <c r="X1121" s="266"/>
      <c r="Y1121" s="271">
        <v>0.1</v>
      </c>
      <c r="Z1121" s="605">
        <f t="shared" si="308"/>
        <v>30000</v>
      </c>
      <c r="AA1121" s="266"/>
      <c r="AB1121" s="605">
        <f t="shared" si="309"/>
        <v>195000</v>
      </c>
      <c r="AC1121" s="607">
        <f t="shared" si="323"/>
        <v>165000</v>
      </c>
      <c r="AD1121" s="266"/>
      <c r="AE1121" s="266"/>
    </row>
    <row r="1122" spans="1:31" ht="47.25" x14ac:dyDescent="0.25">
      <c r="A1122" s="699">
        <v>1087</v>
      </c>
      <c r="B1122" s="22">
        <v>44117</v>
      </c>
      <c r="C1122" s="148" t="s">
        <v>7076</v>
      </c>
      <c r="D1122" s="148" t="s">
        <v>3479</v>
      </c>
      <c r="E1122" s="148"/>
      <c r="F1122" s="101" t="s">
        <v>7077</v>
      </c>
      <c r="G1122" s="10"/>
      <c r="H1122" s="101" t="s">
        <v>2409</v>
      </c>
      <c r="I1122" s="148" t="s">
        <v>7078</v>
      </c>
      <c r="J1122" s="10"/>
      <c r="K1122" s="10"/>
      <c r="L1122" s="19"/>
      <c r="M1122" s="13"/>
      <c r="N1122" s="249"/>
      <c r="O1122" s="777" t="s">
        <v>4918</v>
      </c>
      <c r="P1122" s="777" t="s">
        <v>180</v>
      </c>
      <c r="Q1122" s="356">
        <v>300</v>
      </c>
      <c r="R1122" s="350">
        <v>500000</v>
      </c>
      <c r="S1122" s="356">
        <v>300000</v>
      </c>
      <c r="T1122" s="99">
        <f t="shared" si="329"/>
        <v>800000</v>
      </c>
      <c r="U1122" s="19"/>
      <c r="V1122" s="19"/>
      <c r="W1122" s="19"/>
      <c r="X1122" s="19"/>
      <c r="Y1122" s="165">
        <v>0.4</v>
      </c>
      <c r="Z1122" s="376">
        <f t="shared" si="308"/>
        <v>320000</v>
      </c>
      <c r="AA1122" s="19"/>
      <c r="AB1122" s="376">
        <f t="shared" si="309"/>
        <v>520000</v>
      </c>
      <c r="AC1122" s="38">
        <f t="shared" si="323"/>
        <v>200000</v>
      </c>
      <c r="AD1122" s="19" t="s">
        <v>7079</v>
      </c>
      <c r="AE1122" s="19"/>
    </row>
    <row r="1123" spans="1:31" s="320" customFormat="1" ht="47.25" x14ac:dyDescent="0.25">
      <c r="A1123" s="311">
        <v>1088</v>
      </c>
      <c r="B1123" s="517">
        <v>44118</v>
      </c>
      <c r="C1123" s="268" t="s">
        <v>7080</v>
      </c>
      <c r="D1123" s="268" t="s">
        <v>3479</v>
      </c>
      <c r="E1123" s="268"/>
      <c r="F1123" s="267" t="s">
        <v>7081</v>
      </c>
      <c r="G1123" s="269"/>
      <c r="H1123" s="267" t="s">
        <v>2043</v>
      </c>
      <c r="I1123" s="268" t="s">
        <v>7082</v>
      </c>
      <c r="J1123" s="269"/>
      <c r="K1123" s="269"/>
      <c r="L1123" s="269"/>
      <c r="M1123" s="270"/>
      <c r="N1123" s="439"/>
      <c r="O1123" s="269" t="s">
        <v>5712</v>
      </c>
      <c r="P1123" s="678" t="s">
        <v>180</v>
      </c>
      <c r="Q1123" s="507">
        <v>100</v>
      </c>
      <c r="R1123" s="549">
        <v>500000</v>
      </c>
      <c r="S1123" s="507"/>
      <c r="T1123" s="279">
        <f t="shared" si="329"/>
        <v>500000</v>
      </c>
      <c r="U1123" s="269"/>
      <c r="V1123" s="269"/>
      <c r="W1123" s="269"/>
      <c r="X1123" s="269"/>
      <c r="Y1123" s="516">
        <v>0.4</v>
      </c>
      <c r="Z1123" s="605">
        <f t="shared" ref="Z1123" si="330">T1123*Y1123</f>
        <v>200000</v>
      </c>
      <c r="AA1123" s="269"/>
      <c r="AB1123" s="607">
        <f t="shared" si="309"/>
        <v>325000</v>
      </c>
      <c r="AC1123" s="607">
        <f t="shared" si="323"/>
        <v>125000</v>
      </c>
      <c r="AD1123" s="269"/>
      <c r="AE1123" s="269"/>
    </row>
    <row r="1124" spans="1:31" s="272" customFormat="1" ht="63" x14ac:dyDescent="0.25">
      <c r="A1124" s="698">
        <v>1089</v>
      </c>
      <c r="B1124" s="373">
        <v>44119</v>
      </c>
      <c r="C1124" s="358" t="s">
        <v>7083</v>
      </c>
      <c r="D1124" s="358"/>
      <c r="E1124" s="358" t="s">
        <v>2404</v>
      </c>
      <c r="F1124" s="335" t="s">
        <v>7085</v>
      </c>
      <c r="G1124" s="269"/>
      <c r="H1124" s="267" t="s">
        <v>849</v>
      </c>
      <c r="I1124" s="358" t="s">
        <v>7086</v>
      </c>
      <c r="J1124" s="269"/>
      <c r="K1124" s="269"/>
      <c r="L1124" s="266"/>
      <c r="M1124" s="278"/>
      <c r="N1124" s="439"/>
      <c r="O1124" s="269" t="s">
        <v>5712</v>
      </c>
      <c r="P1124" s="678" t="s">
        <v>180</v>
      </c>
      <c r="Q1124" s="507">
        <v>100</v>
      </c>
      <c r="R1124" s="549">
        <v>500000</v>
      </c>
      <c r="S1124" s="507"/>
      <c r="T1124" s="279">
        <f t="shared" ref="T1124:T1125" si="331">R1124+S1124</f>
        <v>500000</v>
      </c>
      <c r="U1124" s="269"/>
      <c r="V1124" s="269"/>
      <c r="W1124" s="269"/>
      <c r="X1124" s="269"/>
      <c r="Y1124" s="516">
        <v>0.4</v>
      </c>
      <c r="Z1124" s="605">
        <f t="shared" si="308"/>
        <v>200000</v>
      </c>
      <c r="AA1124" s="266"/>
      <c r="AB1124" s="605">
        <f t="shared" si="309"/>
        <v>325000</v>
      </c>
      <c r="AC1124" s="607">
        <f t="shared" si="323"/>
        <v>125000</v>
      </c>
      <c r="AD1124" s="266"/>
      <c r="AE1124" s="266"/>
    </row>
    <row r="1125" spans="1:31" ht="47.25" x14ac:dyDescent="0.25">
      <c r="A1125" s="699">
        <v>1090</v>
      </c>
      <c r="B1125" s="22">
        <v>44119</v>
      </c>
      <c r="C1125" s="148" t="s">
        <v>7087</v>
      </c>
      <c r="D1125" s="148"/>
      <c r="E1125" s="148" t="s">
        <v>3646</v>
      </c>
      <c r="F1125" s="101" t="s">
        <v>6928</v>
      </c>
      <c r="G1125" s="10"/>
      <c r="H1125" s="101" t="s">
        <v>168</v>
      </c>
      <c r="I1125" s="148" t="s">
        <v>7088</v>
      </c>
      <c r="J1125" s="10" t="s">
        <v>7089</v>
      </c>
      <c r="K1125" s="10"/>
      <c r="L1125" s="19"/>
      <c r="M1125" s="13"/>
      <c r="N1125" s="249"/>
      <c r="O1125" s="777" t="s">
        <v>4918</v>
      </c>
      <c r="P1125" s="777" t="s">
        <v>180</v>
      </c>
      <c r="Q1125" s="356">
        <v>300</v>
      </c>
      <c r="R1125" s="350">
        <v>500000</v>
      </c>
      <c r="S1125" s="356">
        <v>300000</v>
      </c>
      <c r="T1125" s="99">
        <f t="shared" si="331"/>
        <v>800000</v>
      </c>
      <c r="U1125" s="19"/>
      <c r="V1125" s="19"/>
      <c r="W1125" s="19"/>
      <c r="X1125" s="19"/>
      <c r="Y1125" s="19"/>
      <c r="Z1125" s="376">
        <f t="shared" si="308"/>
        <v>0</v>
      </c>
      <c r="AA1125" s="19"/>
      <c r="AB1125" s="376">
        <f t="shared" si="309"/>
        <v>520000</v>
      </c>
      <c r="AC1125" s="38">
        <f t="shared" si="323"/>
        <v>520000</v>
      </c>
      <c r="AD1125" s="19" t="s">
        <v>7090</v>
      </c>
      <c r="AE1125" s="19"/>
    </row>
    <row r="1126" spans="1:31" s="272" customFormat="1" ht="47.25" x14ac:dyDescent="0.25">
      <c r="A1126" s="311">
        <v>1091</v>
      </c>
      <c r="B1126" s="373">
        <v>44119</v>
      </c>
      <c r="C1126" s="358" t="s">
        <v>7092</v>
      </c>
      <c r="D1126" s="358"/>
      <c r="E1126" s="358" t="s">
        <v>3646</v>
      </c>
      <c r="F1126" s="335" t="s">
        <v>7093</v>
      </c>
      <c r="G1126" s="269"/>
      <c r="H1126" s="335" t="s">
        <v>5425</v>
      </c>
      <c r="I1126" s="358" t="s">
        <v>7094</v>
      </c>
      <c r="J1126" s="498" t="s">
        <v>7091</v>
      </c>
      <c r="K1126" s="269"/>
      <c r="L1126" s="266"/>
      <c r="M1126" s="278"/>
      <c r="N1126" s="439"/>
      <c r="O1126" s="678" t="s">
        <v>4918</v>
      </c>
      <c r="P1126" s="678" t="s">
        <v>180</v>
      </c>
      <c r="Q1126" s="507">
        <v>300</v>
      </c>
      <c r="R1126" s="549">
        <v>500000</v>
      </c>
      <c r="S1126" s="507">
        <v>300000</v>
      </c>
      <c r="T1126" s="279">
        <f t="shared" ref="T1126:T1130" si="332">R1126+S1126</f>
        <v>800000</v>
      </c>
      <c r="U1126" s="266"/>
      <c r="V1126" s="266"/>
      <c r="W1126" s="266"/>
      <c r="X1126" s="266"/>
      <c r="Y1126" s="271">
        <v>0.4</v>
      </c>
      <c r="Z1126" s="605">
        <f t="shared" si="308"/>
        <v>320000</v>
      </c>
      <c r="AA1126" s="266"/>
      <c r="AB1126" s="605">
        <f t="shared" si="309"/>
        <v>520000</v>
      </c>
      <c r="AC1126" s="607">
        <f t="shared" si="323"/>
        <v>200000</v>
      </c>
      <c r="AD1126" s="266"/>
      <c r="AE1126" s="266"/>
    </row>
    <row r="1127" spans="1:31" s="272" customFormat="1" ht="47.25" x14ac:dyDescent="0.25">
      <c r="A1127" s="698">
        <v>1092</v>
      </c>
      <c r="B1127" s="373">
        <v>44119</v>
      </c>
      <c r="C1127" s="358" t="s">
        <v>7095</v>
      </c>
      <c r="D1127" s="358"/>
      <c r="E1127" s="358" t="s">
        <v>3646</v>
      </c>
      <c r="F1127" s="335" t="s">
        <v>7096</v>
      </c>
      <c r="G1127" s="269"/>
      <c r="H1127" s="335" t="s">
        <v>1177</v>
      </c>
      <c r="I1127" s="358" t="s">
        <v>7097</v>
      </c>
      <c r="J1127" s="269" t="s">
        <v>7099</v>
      </c>
      <c r="K1127" s="380" t="s">
        <v>7098</v>
      </c>
      <c r="L1127" s="266"/>
      <c r="M1127" s="278"/>
      <c r="N1127" s="439"/>
      <c r="O1127" s="269" t="s">
        <v>5712</v>
      </c>
      <c r="P1127" s="678" t="s">
        <v>180</v>
      </c>
      <c r="Q1127" s="507">
        <v>100</v>
      </c>
      <c r="R1127" s="549">
        <v>500000</v>
      </c>
      <c r="S1127" s="507"/>
      <c r="T1127" s="279">
        <f t="shared" si="332"/>
        <v>500000</v>
      </c>
      <c r="U1127" s="269"/>
      <c r="V1127" s="269"/>
      <c r="W1127" s="269"/>
      <c r="X1127" s="269"/>
      <c r="Y1127" s="516">
        <v>0.4</v>
      </c>
      <c r="Z1127" s="605">
        <f t="shared" si="308"/>
        <v>200000</v>
      </c>
      <c r="AA1127" s="266"/>
      <c r="AB1127" s="605">
        <f t="shared" si="309"/>
        <v>325000</v>
      </c>
      <c r="AC1127" s="607">
        <f t="shared" si="323"/>
        <v>125000</v>
      </c>
      <c r="AD1127" s="266"/>
      <c r="AE1127" s="266"/>
    </row>
    <row r="1128" spans="1:31" s="272" customFormat="1" ht="47.25" x14ac:dyDescent="0.25">
      <c r="A1128" s="701">
        <v>1093</v>
      </c>
      <c r="B1128" s="373">
        <v>44119</v>
      </c>
      <c r="C1128" s="358" t="s">
        <v>7100</v>
      </c>
      <c r="D1128" s="358"/>
      <c r="E1128" s="358" t="s">
        <v>309</v>
      </c>
      <c r="F1128" s="335" t="s">
        <v>7101</v>
      </c>
      <c r="G1128" s="269"/>
      <c r="H1128" s="335" t="s">
        <v>840</v>
      </c>
      <c r="I1128" s="358" t="s">
        <v>7102</v>
      </c>
      <c r="J1128" s="269" t="s">
        <v>842</v>
      </c>
      <c r="K1128" s="269"/>
      <c r="L1128" s="266"/>
      <c r="M1128" s="278"/>
      <c r="N1128" s="439"/>
      <c r="O1128" s="266" t="s">
        <v>4959</v>
      </c>
      <c r="P1128" s="266" t="s">
        <v>180</v>
      </c>
      <c r="Q1128" s="266">
        <v>2000</v>
      </c>
      <c r="R1128" s="278">
        <v>500000</v>
      </c>
      <c r="S1128" s="266">
        <v>1100000</v>
      </c>
      <c r="T1128" s="266">
        <f t="shared" si="332"/>
        <v>1600000</v>
      </c>
      <c r="U1128" s="266"/>
      <c r="V1128" s="266"/>
      <c r="W1128" s="266"/>
      <c r="X1128" s="266"/>
      <c r="Y1128" s="271">
        <v>0.4</v>
      </c>
      <c r="Z1128" s="605">
        <f t="shared" si="308"/>
        <v>640000</v>
      </c>
      <c r="AA1128" s="266"/>
      <c r="AB1128" s="605">
        <f t="shared" si="309"/>
        <v>1040000</v>
      </c>
      <c r="AC1128" s="607">
        <f t="shared" si="323"/>
        <v>400000</v>
      </c>
      <c r="AD1128" s="266"/>
      <c r="AE1128" s="266"/>
    </row>
    <row r="1129" spans="1:31" s="272" customFormat="1" ht="47.25" x14ac:dyDescent="0.25">
      <c r="A1129" s="311">
        <v>1094</v>
      </c>
      <c r="B1129" s="373">
        <v>44119</v>
      </c>
      <c r="C1129" s="358" t="s">
        <v>7103</v>
      </c>
      <c r="D1129" s="358"/>
      <c r="E1129" s="358" t="s">
        <v>5768</v>
      </c>
      <c r="F1129" s="335" t="s">
        <v>7105</v>
      </c>
      <c r="G1129" s="269"/>
      <c r="H1129" s="267" t="s">
        <v>849</v>
      </c>
      <c r="I1129" s="358" t="s">
        <v>7104</v>
      </c>
      <c r="J1129" s="269"/>
      <c r="K1129" s="269"/>
      <c r="L1129" s="266"/>
      <c r="M1129" s="278"/>
      <c r="N1129" s="439"/>
      <c r="O1129" s="678" t="s">
        <v>4918</v>
      </c>
      <c r="P1129" s="678" t="s">
        <v>94</v>
      </c>
      <c r="Q1129" s="507">
        <v>300</v>
      </c>
      <c r="R1129" s="549"/>
      <c r="S1129" s="507">
        <v>300000</v>
      </c>
      <c r="T1129" s="279">
        <f t="shared" si="332"/>
        <v>300000</v>
      </c>
      <c r="U1129" s="266"/>
      <c r="V1129" s="266"/>
      <c r="W1129" s="266"/>
      <c r="X1129" s="266"/>
      <c r="Y1129" s="271">
        <v>0.4</v>
      </c>
      <c r="Z1129" s="605">
        <f t="shared" si="308"/>
        <v>120000</v>
      </c>
      <c r="AA1129" s="266"/>
      <c r="AB1129" s="605">
        <f t="shared" si="309"/>
        <v>195000</v>
      </c>
      <c r="AC1129" s="607">
        <f t="shared" si="323"/>
        <v>75000</v>
      </c>
      <c r="AD1129" s="266"/>
      <c r="AE1129" s="266"/>
    </row>
    <row r="1130" spans="1:31" s="272" customFormat="1" ht="31.5" x14ac:dyDescent="0.25">
      <c r="A1130" s="698">
        <v>1095</v>
      </c>
      <c r="B1130" s="373">
        <v>44120</v>
      </c>
      <c r="C1130" s="358" t="s">
        <v>7106</v>
      </c>
      <c r="D1130" s="358" t="s">
        <v>1686</v>
      </c>
      <c r="E1130" s="358"/>
      <c r="F1130" s="335" t="s">
        <v>7107</v>
      </c>
      <c r="G1130" s="269"/>
      <c r="H1130" s="335" t="s">
        <v>2199</v>
      </c>
      <c r="I1130" s="358" t="s">
        <v>7108</v>
      </c>
      <c r="J1130" s="269"/>
      <c r="K1130" s="269"/>
      <c r="L1130" s="266"/>
      <c r="M1130" s="278"/>
      <c r="N1130" s="439"/>
      <c r="O1130" s="266" t="s">
        <v>4932</v>
      </c>
      <c r="P1130" s="649" t="s">
        <v>180</v>
      </c>
      <c r="Q1130" s="508">
        <v>500</v>
      </c>
      <c r="R1130" s="415">
        <v>500000</v>
      </c>
      <c r="S1130" s="508">
        <v>425000</v>
      </c>
      <c r="T1130" s="280">
        <f t="shared" si="332"/>
        <v>925000</v>
      </c>
      <c r="U1130" s="266"/>
      <c r="V1130" s="266"/>
      <c r="W1130" s="266"/>
      <c r="X1130" s="266"/>
      <c r="Y1130" s="271">
        <v>0.47</v>
      </c>
      <c r="Z1130" s="605">
        <f t="shared" si="308"/>
        <v>434750</v>
      </c>
      <c r="AA1130" s="266"/>
      <c r="AB1130" s="605">
        <f t="shared" si="309"/>
        <v>601250</v>
      </c>
      <c r="AC1130" s="607">
        <f t="shared" si="323"/>
        <v>166500</v>
      </c>
      <c r="AD1130" s="266"/>
      <c r="AE1130" s="266"/>
    </row>
    <row r="1131" spans="1:31" s="272" customFormat="1" ht="47.25" x14ac:dyDescent="0.25">
      <c r="A1131" s="701">
        <v>1096</v>
      </c>
      <c r="B1131" s="373">
        <v>44120</v>
      </c>
      <c r="C1131" s="358" t="s">
        <v>7109</v>
      </c>
      <c r="D1131" s="358" t="s">
        <v>1686</v>
      </c>
      <c r="E1131" s="358"/>
      <c r="F1131" s="335" t="s">
        <v>7110</v>
      </c>
      <c r="G1131" s="269"/>
      <c r="H1131" s="335" t="s">
        <v>2199</v>
      </c>
      <c r="I1131" s="358" t="s">
        <v>7111</v>
      </c>
      <c r="J1131" s="269"/>
      <c r="K1131" s="269"/>
      <c r="L1131" s="266"/>
      <c r="M1131" s="278"/>
      <c r="N1131" s="439"/>
      <c r="O1131" s="266" t="s">
        <v>4932</v>
      </c>
      <c r="P1131" s="649" t="s">
        <v>180</v>
      </c>
      <c r="Q1131" s="508">
        <v>500</v>
      </c>
      <c r="R1131" s="415">
        <v>500000</v>
      </c>
      <c r="S1131" s="508">
        <v>425000</v>
      </c>
      <c r="T1131" s="280">
        <f t="shared" ref="T1131:T1132" si="333">R1131+S1131</f>
        <v>925000</v>
      </c>
      <c r="U1131" s="266"/>
      <c r="V1131" s="266"/>
      <c r="W1131" s="266"/>
      <c r="X1131" s="266"/>
      <c r="Y1131" s="271">
        <v>0.47</v>
      </c>
      <c r="Z1131" s="605">
        <f t="shared" si="308"/>
        <v>434750</v>
      </c>
      <c r="AA1131" s="266"/>
      <c r="AB1131" s="605">
        <f t="shared" si="309"/>
        <v>601250</v>
      </c>
      <c r="AC1131" s="607">
        <f t="shared" si="323"/>
        <v>166500</v>
      </c>
      <c r="AD1131" s="266"/>
      <c r="AE1131" s="266"/>
    </row>
    <row r="1132" spans="1:31" s="272" customFormat="1" ht="63" x14ac:dyDescent="0.25">
      <c r="A1132" s="311">
        <v>1097</v>
      </c>
      <c r="B1132" s="373">
        <v>44121</v>
      </c>
      <c r="C1132" s="358" t="s">
        <v>7112</v>
      </c>
      <c r="D1132" s="358" t="s">
        <v>1686</v>
      </c>
      <c r="E1132" s="358"/>
      <c r="F1132" s="335" t="s">
        <v>1887</v>
      </c>
      <c r="G1132" s="269"/>
      <c r="H1132" s="335" t="s">
        <v>2199</v>
      </c>
      <c r="I1132" s="358" t="s">
        <v>7113</v>
      </c>
      <c r="J1132" s="269"/>
      <c r="K1132" s="269"/>
      <c r="L1132" s="266"/>
      <c r="M1132" s="278"/>
      <c r="N1132" s="439"/>
      <c r="O1132" s="678" t="s">
        <v>4918</v>
      </c>
      <c r="P1132" s="678" t="s">
        <v>180</v>
      </c>
      <c r="Q1132" s="507">
        <v>300</v>
      </c>
      <c r="R1132" s="549">
        <v>500000</v>
      </c>
      <c r="S1132" s="507">
        <v>300000</v>
      </c>
      <c r="T1132" s="279">
        <f t="shared" si="333"/>
        <v>800000</v>
      </c>
      <c r="U1132" s="266"/>
      <c r="V1132" s="266"/>
      <c r="W1132" s="266"/>
      <c r="X1132" s="266"/>
      <c r="Y1132" s="271">
        <v>0.47</v>
      </c>
      <c r="Z1132" s="605">
        <f t="shared" si="308"/>
        <v>376000</v>
      </c>
      <c r="AA1132" s="266"/>
      <c r="AB1132" s="605">
        <f t="shared" si="309"/>
        <v>520000</v>
      </c>
      <c r="AC1132" s="607">
        <f t="shared" si="323"/>
        <v>144000</v>
      </c>
      <c r="AD1132" s="266"/>
      <c r="AE1132" s="266"/>
    </row>
    <row r="1133" spans="1:31" s="272" customFormat="1" ht="63" x14ac:dyDescent="0.25">
      <c r="A1133" s="698">
        <v>1098</v>
      </c>
      <c r="B1133" s="373">
        <v>44121</v>
      </c>
      <c r="C1133" s="358" t="s">
        <v>7114</v>
      </c>
      <c r="D1133" s="358" t="s">
        <v>350</v>
      </c>
      <c r="E1133" s="358" t="s">
        <v>3646</v>
      </c>
      <c r="F1133" s="335" t="s">
        <v>7115</v>
      </c>
      <c r="G1133" s="269"/>
      <c r="H1133" s="335" t="s">
        <v>353</v>
      </c>
      <c r="I1133" s="358" t="s">
        <v>7116</v>
      </c>
      <c r="J1133" s="269"/>
      <c r="K1133" s="269"/>
      <c r="L1133" s="266"/>
      <c r="M1133" s="278"/>
      <c r="N1133" s="439"/>
      <c r="O1133" s="678" t="s">
        <v>4918</v>
      </c>
      <c r="P1133" s="678" t="s">
        <v>180</v>
      </c>
      <c r="Q1133" s="507">
        <v>300</v>
      </c>
      <c r="R1133" s="549">
        <v>500000</v>
      </c>
      <c r="S1133" s="507">
        <v>300000</v>
      </c>
      <c r="T1133" s="279">
        <f t="shared" ref="T1133:T1134" si="334">R1133+S1133</f>
        <v>800000</v>
      </c>
      <c r="U1133" s="266"/>
      <c r="V1133" s="266"/>
      <c r="W1133" s="266"/>
      <c r="X1133" s="266"/>
      <c r="Y1133" s="271">
        <v>0.4</v>
      </c>
      <c r="Z1133" s="605">
        <f t="shared" si="308"/>
        <v>320000</v>
      </c>
      <c r="AA1133" s="266"/>
      <c r="AB1133" s="605">
        <f t="shared" si="309"/>
        <v>520000</v>
      </c>
      <c r="AC1133" s="607">
        <f t="shared" si="323"/>
        <v>200000</v>
      </c>
      <c r="AD1133" s="266"/>
      <c r="AE1133" s="266"/>
    </row>
    <row r="1134" spans="1:31" ht="47.25" x14ac:dyDescent="0.25">
      <c r="A1134" s="699">
        <v>1099</v>
      </c>
      <c r="B1134" s="22">
        <v>44123</v>
      </c>
      <c r="C1134" s="148" t="s">
        <v>7183</v>
      </c>
      <c r="D1134" s="148" t="s">
        <v>5768</v>
      </c>
      <c r="E1134" s="148" t="s">
        <v>5768</v>
      </c>
      <c r="F1134" s="101" t="s">
        <v>7184</v>
      </c>
      <c r="G1134" s="10"/>
      <c r="H1134" s="101" t="s">
        <v>168</v>
      </c>
      <c r="I1134" s="148" t="s">
        <v>7185</v>
      </c>
      <c r="J1134" s="10"/>
      <c r="K1134" s="10"/>
      <c r="L1134" s="19"/>
      <c r="M1134" s="13"/>
      <c r="N1134" s="249"/>
      <c r="O1134" s="10" t="s">
        <v>5712</v>
      </c>
      <c r="P1134" s="777" t="s">
        <v>180</v>
      </c>
      <c r="Q1134" s="356">
        <v>100</v>
      </c>
      <c r="R1134" s="350">
        <v>500000</v>
      </c>
      <c r="S1134" s="356"/>
      <c r="T1134" s="99">
        <f t="shared" si="334"/>
        <v>500000</v>
      </c>
      <c r="U1134" s="10"/>
      <c r="V1134" s="10"/>
      <c r="W1134" s="10"/>
      <c r="X1134" s="10"/>
      <c r="Y1134" s="98">
        <v>0.4</v>
      </c>
      <c r="Z1134" s="376">
        <f t="shared" si="308"/>
        <v>200000</v>
      </c>
      <c r="AA1134" s="19"/>
      <c r="AB1134" s="376">
        <f t="shared" si="309"/>
        <v>325000</v>
      </c>
      <c r="AC1134" s="38">
        <f t="shared" si="323"/>
        <v>125000</v>
      </c>
      <c r="AD1134" s="19" t="s">
        <v>7186</v>
      </c>
      <c r="AE1134" s="19"/>
    </row>
    <row r="1135" spans="1:31" s="272" customFormat="1" ht="63" x14ac:dyDescent="0.25">
      <c r="A1135" s="311">
        <v>1100</v>
      </c>
      <c r="B1135" s="373">
        <v>44123</v>
      </c>
      <c r="C1135" s="358" t="s">
        <v>7187</v>
      </c>
      <c r="D1135" s="358"/>
      <c r="E1135" s="358" t="s">
        <v>3646</v>
      </c>
      <c r="F1135" s="335" t="s">
        <v>7189</v>
      </c>
      <c r="G1135" s="269"/>
      <c r="H1135" s="335" t="s">
        <v>849</v>
      </c>
      <c r="I1135" s="358" t="s">
        <v>7188</v>
      </c>
      <c r="J1135" s="269"/>
      <c r="K1135" s="269"/>
      <c r="L1135" s="266"/>
      <c r="M1135" s="278"/>
      <c r="N1135" s="439"/>
      <c r="O1135" s="678" t="s">
        <v>4918</v>
      </c>
      <c r="P1135" s="678" t="s">
        <v>180</v>
      </c>
      <c r="Q1135" s="507">
        <v>300</v>
      </c>
      <c r="R1135" s="549">
        <v>500000</v>
      </c>
      <c r="S1135" s="507">
        <v>300000</v>
      </c>
      <c r="T1135" s="279">
        <f t="shared" ref="T1135" si="335">R1135+S1135</f>
        <v>800000</v>
      </c>
      <c r="U1135" s="266"/>
      <c r="V1135" s="266"/>
      <c r="W1135" s="266"/>
      <c r="X1135" s="266"/>
      <c r="Y1135" s="271">
        <v>0.4</v>
      </c>
      <c r="Z1135" s="605">
        <f t="shared" si="308"/>
        <v>320000</v>
      </c>
      <c r="AA1135" s="266"/>
      <c r="AB1135" s="605">
        <f t="shared" si="309"/>
        <v>520000</v>
      </c>
      <c r="AC1135" s="607">
        <f t="shared" si="323"/>
        <v>200000</v>
      </c>
      <c r="AD1135" s="266"/>
      <c r="AE1135" s="266"/>
    </row>
    <row r="1136" spans="1:31" ht="63" x14ac:dyDescent="0.25">
      <c r="A1136" s="113">
        <v>1101</v>
      </c>
      <c r="B1136" s="22">
        <v>44123</v>
      </c>
      <c r="C1136" s="148" t="s">
        <v>7190</v>
      </c>
      <c r="D1136" s="148"/>
      <c r="E1136" s="148" t="s">
        <v>3646</v>
      </c>
      <c r="F1136" s="101" t="s">
        <v>7191</v>
      </c>
      <c r="G1136" s="269"/>
      <c r="H1136" s="101" t="s">
        <v>849</v>
      </c>
      <c r="I1136" s="148" t="s">
        <v>7192</v>
      </c>
      <c r="J1136" s="10" t="s">
        <v>7055</v>
      </c>
      <c r="K1136" s="10"/>
      <c r="L1136" s="19"/>
      <c r="M1136" s="278"/>
      <c r="N1136" s="249"/>
      <c r="O1136" s="777" t="s">
        <v>4918</v>
      </c>
      <c r="P1136" s="777" t="s">
        <v>180</v>
      </c>
      <c r="Q1136" s="356">
        <v>300</v>
      </c>
      <c r="R1136" s="350">
        <v>500000</v>
      </c>
      <c r="S1136" s="356">
        <v>300000</v>
      </c>
      <c r="T1136" s="99">
        <f t="shared" ref="T1136" si="336">R1136+S1136</f>
        <v>800000</v>
      </c>
      <c r="U1136" s="266"/>
      <c r="V1136" s="266"/>
      <c r="W1136" s="266"/>
      <c r="X1136" s="266"/>
      <c r="Y1136" s="165">
        <v>0.4</v>
      </c>
      <c r="Z1136" s="376">
        <f t="shared" si="308"/>
        <v>320000</v>
      </c>
      <c r="AA1136" s="19"/>
      <c r="AB1136" s="376">
        <f t="shared" si="309"/>
        <v>520000</v>
      </c>
      <c r="AC1136" s="38">
        <f t="shared" si="323"/>
        <v>200000</v>
      </c>
      <c r="AD1136" s="19" t="s">
        <v>7629</v>
      </c>
      <c r="AE1136" s="19"/>
    </row>
    <row r="1137" spans="1:31" s="272" customFormat="1" ht="63" x14ac:dyDescent="0.25">
      <c r="A1137" s="701">
        <v>1102</v>
      </c>
      <c r="B1137" s="373">
        <v>44123</v>
      </c>
      <c r="C1137" s="358" t="s">
        <v>7193</v>
      </c>
      <c r="D1137" s="358"/>
      <c r="E1137" s="358" t="s">
        <v>2404</v>
      </c>
      <c r="F1137" s="335" t="s">
        <v>7194</v>
      </c>
      <c r="G1137" s="269"/>
      <c r="H1137" s="335" t="s">
        <v>168</v>
      </c>
      <c r="I1137" s="358" t="s">
        <v>7195</v>
      </c>
      <c r="J1137" s="269"/>
      <c r="K1137" s="269"/>
      <c r="L1137" s="266"/>
      <c r="M1137" s="278"/>
      <c r="N1137" s="439"/>
      <c r="O1137" s="678" t="s">
        <v>4918</v>
      </c>
      <c r="P1137" s="678" t="s">
        <v>180</v>
      </c>
      <c r="Q1137" s="507">
        <v>300</v>
      </c>
      <c r="R1137" s="549">
        <v>500000</v>
      </c>
      <c r="S1137" s="507">
        <v>300000</v>
      </c>
      <c r="T1137" s="279">
        <f t="shared" ref="T1137:T1138" si="337">R1137+S1137</f>
        <v>800000</v>
      </c>
      <c r="U1137" s="266"/>
      <c r="V1137" s="266"/>
      <c r="W1137" s="266"/>
      <c r="X1137" s="266"/>
      <c r="Y1137" s="271">
        <v>0.4</v>
      </c>
      <c r="Z1137" s="605">
        <f t="shared" si="308"/>
        <v>320000</v>
      </c>
      <c r="AA1137" s="266"/>
      <c r="AB1137" s="605">
        <f t="shared" si="309"/>
        <v>520000</v>
      </c>
      <c r="AC1137" s="607">
        <f t="shared" si="323"/>
        <v>200000</v>
      </c>
      <c r="AD1137" s="266"/>
      <c r="AE1137" s="266"/>
    </row>
    <row r="1138" spans="1:31" s="272" customFormat="1" ht="47.25" x14ac:dyDescent="0.25">
      <c r="A1138" s="311">
        <v>1103</v>
      </c>
      <c r="B1138" s="373">
        <v>44123</v>
      </c>
      <c r="C1138" s="358" t="s">
        <v>7196</v>
      </c>
      <c r="D1138" s="358"/>
      <c r="E1138" s="358" t="s">
        <v>2404</v>
      </c>
      <c r="F1138" s="335" t="s">
        <v>7197</v>
      </c>
      <c r="G1138" s="269"/>
      <c r="H1138" s="335" t="s">
        <v>849</v>
      </c>
      <c r="I1138" s="358" t="s">
        <v>7198</v>
      </c>
      <c r="J1138" s="269"/>
      <c r="K1138" s="269"/>
      <c r="L1138" s="266"/>
      <c r="M1138" s="278"/>
      <c r="N1138" s="439"/>
      <c r="O1138" s="266" t="s">
        <v>4932</v>
      </c>
      <c r="P1138" s="649" t="s">
        <v>180</v>
      </c>
      <c r="Q1138" s="508">
        <v>500</v>
      </c>
      <c r="R1138" s="415">
        <v>500000</v>
      </c>
      <c r="S1138" s="508">
        <v>425000</v>
      </c>
      <c r="T1138" s="280">
        <f t="shared" si="337"/>
        <v>925000</v>
      </c>
      <c r="U1138" s="266"/>
      <c r="V1138" s="266"/>
      <c r="W1138" s="266"/>
      <c r="X1138" s="266"/>
      <c r="Y1138" s="271">
        <v>0.4</v>
      </c>
      <c r="Z1138" s="605">
        <f t="shared" si="308"/>
        <v>370000</v>
      </c>
      <c r="AA1138" s="266"/>
      <c r="AB1138" s="605">
        <f t="shared" si="309"/>
        <v>601250</v>
      </c>
      <c r="AC1138" s="607">
        <f t="shared" si="323"/>
        <v>231250</v>
      </c>
      <c r="AD1138" s="266"/>
      <c r="AE1138" s="266"/>
    </row>
    <row r="1139" spans="1:31" ht="47.25" x14ac:dyDescent="0.25">
      <c r="A1139" s="113">
        <v>1104</v>
      </c>
      <c r="B1139" s="22">
        <v>44123</v>
      </c>
      <c r="C1139" s="148" t="s">
        <v>7199</v>
      </c>
      <c r="D1139" s="148"/>
      <c r="E1139" s="148" t="s">
        <v>3646</v>
      </c>
      <c r="F1139" s="101" t="s">
        <v>7200</v>
      </c>
      <c r="G1139" s="10"/>
      <c r="H1139" s="101" t="s">
        <v>849</v>
      </c>
      <c r="I1139" s="148" t="s">
        <v>7201</v>
      </c>
      <c r="J1139" s="10"/>
      <c r="K1139" s="10"/>
      <c r="L1139" s="19"/>
      <c r="M1139" s="13"/>
      <c r="N1139" s="249"/>
      <c r="O1139" s="19" t="s">
        <v>4932</v>
      </c>
      <c r="P1139" s="693" t="s">
        <v>180</v>
      </c>
      <c r="Q1139" s="365">
        <v>500</v>
      </c>
      <c r="R1139" s="364">
        <v>500000</v>
      </c>
      <c r="S1139" s="365">
        <v>425000</v>
      </c>
      <c r="T1139" s="219">
        <f t="shared" ref="T1139:T1141" si="338">R1139+S1139</f>
        <v>925000</v>
      </c>
      <c r="U1139" s="19"/>
      <c r="V1139" s="19"/>
      <c r="W1139" s="19"/>
      <c r="X1139" s="19"/>
      <c r="Y1139" s="165">
        <v>0.4</v>
      </c>
      <c r="Z1139" s="376">
        <f t="shared" si="308"/>
        <v>370000</v>
      </c>
      <c r="AA1139" s="19"/>
      <c r="AB1139" s="376">
        <f t="shared" si="309"/>
        <v>601250</v>
      </c>
      <c r="AC1139" s="38">
        <f t="shared" si="323"/>
        <v>231250</v>
      </c>
      <c r="AD1139" s="19" t="s">
        <v>7202</v>
      </c>
      <c r="AE1139" s="19"/>
    </row>
    <row r="1140" spans="1:31" s="272" customFormat="1" ht="47.25" x14ac:dyDescent="0.25">
      <c r="A1140" s="701">
        <v>1105</v>
      </c>
      <c r="B1140" s="373">
        <v>44124</v>
      </c>
      <c r="C1140" s="358" t="s">
        <v>7271</v>
      </c>
      <c r="D1140" s="358"/>
      <c r="E1140" s="358" t="s">
        <v>2404</v>
      </c>
      <c r="F1140" s="335" t="s">
        <v>7272</v>
      </c>
      <c r="G1140" s="269"/>
      <c r="H1140" s="335" t="s">
        <v>849</v>
      </c>
      <c r="I1140" s="358" t="s">
        <v>7198</v>
      </c>
      <c r="J1140" s="269"/>
      <c r="K1140" s="269"/>
      <c r="L1140" s="266"/>
      <c r="M1140" s="278"/>
      <c r="N1140" s="439"/>
      <c r="O1140" s="266" t="s">
        <v>4932</v>
      </c>
      <c r="P1140" s="649" t="s">
        <v>180</v>
      </c>
      <c r="Q1140" s="508">
        <v>500</v>
      </c>
      <c r="R1140" s="415">
        <v>500000</v>
      </c>
      <c r="S1140" s="508">
        <v>425000</v>
      </c>
      <c r="T1140" s="280">
        <f t="shared" si="338"/>
        <v>925000</v>
      </c>
      <c r="U1140" s="266"/>
      <c r="V1140" s="266"/>
      <c r="W1140" s="266"/>
      <c r="X1140" s="266"/>
      <c r="Y1140" s="271">
        <v>0.4</v>
      </c>
      <c r="Z1140" s="605">
        <f t="shared" si="308"/>
        <v>370000</v>
      </c>
      <c r="AA1140" s="266"/>
      <c r="AB1140" s="605">
        <f t="shared" si="309"/>
        <v>601250</v>
      </c>
      <c r="AC1140" s="607">
        <f t="shared" si="323"/>
        <v>231250</v>
      </c>
      <c r="AD1140" s="266"/>
      <c r="AE1140" s="266"/>
    </row>
    <row r="1141" spans="1:31" s="272" customFormat="1" ht="63" x14ac:dyDescent="0.25">
      <c r="A1141" s="311">
        <v>1106</v>
      </c>
      <c r="B1141" s="373">
        <v>44124</v>
      </c>
      <c r="C1141" s="358" t="s">
        <v>7193</v>
      </c>
      <c r="D1141" s="358"/>
      <c r="E1141" s="358" t="s">
        <v>2404</v>
      </c>
      <c r="F1141" s="335" t="s">
        <v>7194</v>
      </c>
      <c r="G1141" s="269"/>
      <c r="H1141" s="335" t="s">
        <v>168</v>
      </c>
      <c r="I1141" s="358" t="s">
        <v>7195</v>
      </c>
      <c r="J1141" s="269"/>
      <c r="K1141" s="269"/>
      <c r="L1141" s="266"/>
      <c r="M1141" s="278"/>
      <c r="N1141" s="439"/>
      <c r="O1141" s="678" t="s">
        <v>4918</v>
      </c>
      <c r="P1141" s="678" t="s">
        <v>180</v>
      </c>
      <c r="Q1141" s="507">
        <v>300</v>
      </c>
      <c r="R1141" s="549">
        <v>500000</v>
      </c>
      <c r="S1141" s="507">
        <v>300000</v>
      </c>
      <c r="T1141" s="279">
        <f t="shared" si="338"/>
        <v>800000</v>
      </c>
      <c r="U1141" s="266"/>
      <c r="V1141" s="266"/>
      <c r="W1141" s="266"/>
      <c r="X1141" s="266"/>
      <c r="Y1141" s="271">
        <v>0.4</v>
      </c>
      <c r="Z1141" s="605">
        <f t="shared" si="308"/>
        <v>320000</v>
      </c>
      <c r="AA1141" s="266"/>
      <c r="AB1141" s="605">
        <f t="shared" si="309"/>
        <v>520000</v>
      </c>
      <c r="AC1141" s="607">
        <f t="shared" si="323"/>
        <v>200000</v>
      </c>
      <c r="AD1141" s="266"/>
      <c r="AE1141" s="266"/>
    </row>
    <row r="1142" spans="1:31" ht="63" x14ac:dyDescent="0.25">
      <c r="A1142" s="113">
        <v>1107</v>
      </c>
      <c r="B1142" s="22">
        <v>44124</v>
      </c>
      <c r="C1142" s="148" t="s">
        <v>7190</v>
      </c>
      <c r="D1142" s="148"/>
      <c r="E1142" s="148" t="s">
        <v>3646</v>
      </c>
      <c r="F1142" s="101" t="s">
        <v>7273</v>
      </c>
      <c r="G1142" s="269"/>
      <c r="H1142" s="101" t="s">
        <v>849</v>
      </c>
      <c r="I1142" s="148" t="s">
        <v>7192</v>
      </c>
      <c r="J1142" s="10" t="s">
        <v>7055</v>
      </c>
      <c r="K1142" s="10"/>
      <c r="L1142" s="19"/>
      <c r="M1142" s="278"/>
      <c r="N1142" s="249"/>
      <c r="O1142" s="777" t="s">
        <v>4918</v>
      </c>
      <c r="P1142" s="777" t="s">
        <v>180</v>
      </c>
      <c r="Q1142" s="356">
        <v>300</v>
      </c>
      <c r="R1142" s="350">
        <v>500000</v>
      </c>
      <c r="S1142" s="356">
        <v>300000</v>
      </c>
      <c r="T1142" s="99">
        <f t="shared" ref="T1142" si="339">R1142+S1142</f>
        <v>800000</v>
      </c>
      <c r="U1142" s="266"/>
      <c r="V1142" s="266"/>
      <c r="W1142" s="266"/>
      <c r="X1142" s="266"/>
      <c r="Y1142" s="165">
        <v>0.4</v>
      </c>
      <c r="Z1142" s="376">
        <f t="shared" si="308"/>
        <v>320000</v>
      </c>
      <c r="AA1142" s="19"/>
      <c r="AB1142" s="376">
        <f t="shared" si="309"/>
        <v>520000</v>
      </c>
      <c r="AC1142" s="38">
        <f t="shared" si="323"/>
        <v>200000</v>
      </c>
      <c r="AD1142" s="19" t="s">
        <v>7629</v>
      </c>
      <c r="AE1142" s="19"/>
    </row>
    <row r="1143" spans="1:31" ht="63" x14ac:dyDescent="0.25">
      <c r="A1143" s="699">
        <v>1108</v>
      </c>
      <c r="B1143" s="22">
        <v>44124</v>
      </c>
      <c r="C1143" s="148" t="s">
        <v>7187</v>
      </c>
      <c r="D1143" s="148"/>
      <c r="E1143" s="148" t="s">
        <v>3646</v>
      </c>
      <c r="F1143" s="101" t="s">
        <v>7189</v>
      </c>
      <c r="G1143" s="269"/>
      <c r="H1143" s="101" t="s">
        <v>849</v>
      </c>
      <c r="I1143" s="148" t="s">
        <v>7274</v>
      </c>
      <c r="J1143" s="10" t="s">
        <v>7055</v>
      </c>
      <c r="K1143" s="10"/>
      <c r="L1143" s="19"/>
      <c r="M1143" s="278"/>
      <c r="N1143" s="249"/>
      <c r="O1143" s="777" t="s">
        <v>4918</v>
      </c>
      <c r="P1143" s="777" t="s">
        <v>180</v>
      </c>
      <c r="Q1143" s="356">
        <v>300</v>
      </c>
      <c r="R1143" s="350">
        <v>500000</v>
      </c>
      <c r="S1143" s="356">
        <v>300000</v>
      </c>
      <c r="T1143" s="99">
        <f t="shared" ref="T1143" si="340">R1143+S1143</f>
        <v>800000</v>
      </c>
      <c r="U1143" s="266"/>
      <c r="V1143" s="266"/>
      <c r="W1143" s="266"/>
      <c r="X1143" s="266"/>
      <c r="Y1143" s="165">
        <v>0.4</v>
      </c>
      <c r="Z1143" s="376">
        <f t="shared" si="308"/>
        <v>320000</v>
      </c>
      <c r="AA1143" s="19"/>
      <c r="AB1143" s="376">
        <f t="shared" si="309"/>
        <v>520000</v>
      </c>
      <c r="AC1143" s="38">
        <f t="shared" si="323"/>
        <v>200000</v>
      </c>
      <c r="AD1143" s="19" t="s">
        <v>7629</v>
      </c>
      <c r="AE1143" s="19"/>
    </row>
    <row r="1144" spans="1:31" s="272" customFormat="1" ht="47.25" x14ac:dyDescent="0.25">
      <c r="A1144" s="311">
        <v>1109</v>
      </c>
      <c r="B1144" s="373">
        <v>44125</v>
      </c>
      <c r="C1144" s="358" t="s">
        <v>7275</v>
      </c>
      <c r="D1144" s="358"/>
      <c r="E1144" s="358" t="s">
        <v>5768</v>
      </c>
      <c r="F1144" s="335" t="s">
        <v>7276</v>
      </c>
      <c r="G1144" s="269"/>
      <c r="H1144" s="335" t="s">
        <v>849</v>
      </c>
      <c r="I1144" s="358" t="s">
        <v>7277</v>
      </c>
      <c r="J1144" s="269"/>
      <c r="K1144" s="269"/>
      <c r="L1144" s="266"/>
      <c r="M1144" s="278"/>
      <c r="N1144" s="439"/>
      <c r="O1144" s="678" t="s">
        <v>4918</v>
      </c>
      <c r="P1144" s="678" t="s">
        <v>94</v>
      </c>
      <c r="Q1144" s="507">
        <v>300</v>
      </c>
      <c r="R1144" s="549"/>
      <c r="S1144" s="507">
        <v>300000</v>
      </c>
      <c r="T1144" s="279">
        <f t="shared" ref="T1144:T1146" si="341">R1144+S1144</f>
        <v>300000</v>
      </c>
      <c r="U1144" s="266"/>
      <c r="V1144" s="266"/>
      <c r="W1144" s="266"/>
      <c r="X1144" s="266"/>
      <c r="Y1144" s="271">
        <v>0.4</v>
      </c>
      <c r="Z1144" s="605">
        <f t="shared" si="308"/>
        <v>120000</v>
      </c>
      <c r="AA1144" s="266"/>
      <c r="AB1144" s="605">
        <f t="shared" si="309"/>
        <v>195000</v>
      </c>
      <c r="AC1144" s="607">
        <f t="shared" si="323"/>
        <v>75000</v>
      </c>
      <c r="AD1144" s="266"/>
      <c r="AE1144" s="266"/>
    </row>
    <row r="1145" spans="1:31" s="272" customFormat="1" ht="63" x14ac:dyDescent="0.25">
      <c r="A1145" s="698">
        <v>1110</v>
      </c>
      <c r="B1145" s="373">
        <v>44125</v>
      </c>
      <c r="C1145" s="358" t="s">
        <v>7278</v>
      </c>
      <c r="D1145" s="358" t="s">
        <v>1686</v>
      </c>
      <c r="E1145" s="358"/>
      <c r="F1145" s="335" t="s">
        <v>1887</v>
      </c>
      <c r="G1145" s="269"/>
      <c r="H1145" s="335" t="s">
        <v>2199</v>
      </c>
      <c r="I1145" s="358" t="s">
        <v>7113</v>
      </c>
      <c r="J1145" s="269"/>
      <c r="K1145" s="269"/>
      <c r="L1145" s="266"/>
      <c r="M1145" s="278"/>
      <c r="N1145" s="439"/>
      <c r="O1145" s="678" t="s">
        <v>4918</v>
      </c>
      <c r="P1145" s="678" t="s">
        <v>180</v>
      </c>
      <c r="Q1145" s="507">
        <v>300</v>
      </c>
      <c r="R1145" s="549">
        <v>500000</v>
      </c>
      <c r="S1145" s="507">
        <v>300000</v>
      </c>
      <c r="T1145" s="279">
        <f t="shared" si="341"/>
        <v>800000</v>
      </c>
      <c r="U1145" s="266"/>
      <c r="V1145" s="266"/>
      <c r="W1145" s="266"/>
      <c r="X1145" s="266"/>
      <c r="Y1145" s="271">
        <v>0.47</v>
      </c>
      <c r="Z1145" s="605">
        <f t="shared" si="308"/>
        <v>376000</v>
      </c>
      <c r="AA1145" s="266"/>
      <c r="AB1145" s="605">
        <f t="shared" si="309"/>
        <v>520000</v>
      </c>
      <c r="AC1145" s="607">
        <f t="shared" si="323"/>
        <v>144000</v>
      </c>
      <c r="AD1145" s="266"/>
      <c r="AE1145" s="266"/>
    </row>
    <row r="1146" spans="1:31" ht="47.25" x14ac:dyDescent="0.25">
      <c r="A1146" s="699">
        <v>1111</v>
      </c>
      <c r="B1146" s="22">
        <v>44125</v>
      </c>
      <c r="C1146" s="148" t="s">
        <v>7279</v>
      </c>
      <c r="D1146" s="148"/>
      <c r="E1146" s="148" t="s">
        <v>3646</v>
      </c>
      <c r="F1146" s="101" t="s">
        <v>7280</v>
      </c>
      <c r="G1146" s="10"/>
      <c r="H1146" s="101" t="s">
        <v>849</v>
      </c>
      <c r="I1146" s="148" t="s">
        <v>7281</v>
      </c>
      <c r="J1146" s="10" t="s">
        <v>7282</v>
      </c>
      <c r="K1146" s="10"/>
      <c r="L1146" s="19"/>
      <c r="M1146" s="13"/>
      <c r="N1146" s="249"/>
      <c r="O1146" s="19" t="s">
        <v>398</v>
      </c>
      <c r="P1146" s="19" t="s">
        <v>278</v>
      </c>
      <c r="Q1146" s="19">
        <v>5000</v>
      </c>
      <c r="R1146" s="13">
        <v>500000</v>
      </c>
      <c r="S1146" s="19">
        <v>2250000</v>
      </c>
      <c r="T1146" s="19">
        <f t="shared" si="341"/>
        <v>2750000</v>
      </c>
      <c r="U1146" s="19"/>
      <c r="V1146" s="19"/>
      <c r="W1146" s="19"/>
      <c r="X1146" s="19"/>
      <c r="Y1146" s="165">
        <v>0.4</v>
      </c>
      <c r="Z1146" s="376">
        <f t="shared" si="308"/>
        <v>1100000</v>
      </c>
      <c r="AA1146" s="19"/>
      <c r="AB1146" s="376">
        <f t="shared" si="309"/>
        <v>1787500</v>
      </c>
      <c r="AC1146" s="38">
        <f t="shared" si="323"/>
        <v>687500</v>
      </c>
      <c r="AD1146" s="19"/>
      <c r="AE1146" s="19"/>
    </row>
    <row r="1147" spans="1:31" s="272" customFormat="1" ht="47.25" x14ac:dyDescent="0.25">
      <c r="A1147" s="311">
        <v>1112</v>
      </c>
      <c r="B1147" s="373">
        <v>44126</v>
      </c>
      <c r="C1147" s="358" t="s">
        <v>7283</v>
      </c>
      <c r="D1147" s="358" t="s">
        <v>457</v>
      </c>
      <c r="E1147" s="358" t="s">
        <v>457</v>
      </c>
      <c r="F1147" s="335" t="s">
        <v>7284</v>
      </c>
      <c r="G1147" s="269"/>
      <c r="H1147" s="335" t="s">
        <v>1177</v>
      </c>
      <c r="I1147" s="358" t="s">
        <v>7285</v>
      </c>
      <c r="J1147" s="269"/>
      <c r="K1147" s="269"/>
      <c r="L1147" s="266"/>
      <c r="M1147" s="278"/>
      <c r="N1147" s="439"/>
      <c r="O1147" s="678" t="s">
        <v>4918</v>
      </c>
      <c r="P1147" s="678" t="s">
        <v>180</v>
      </c>
      <c r="Q1147" s="507">
        <v>300</v>
      </c>
      <c r="R1147" s="549">
        <v>500000</v>
      </c>
      <c r="S1147" s="507">
        <v>300000</v>
      </c>
      <c r="T1147" s="279">
        <f t="shared" ref="T1147" si="342">R1147+S1147</f>
        <v>800000</v>
      </c>
      <c r="U1147" s="266"/>
      <c r="V1147" s="266"/>
      <c r="W1147" s="266"/>
      <c r="X1147" s="266"/>
      <c r="Y1147" s="271">
        <v>0.4</v>
      </c>
      <c r="Z1147" s="605">
        <f t="shared" si="308"/>
        <v>320000</v>
      </c>
      <c r="AA1147" s="266"/>
      <c r="AB1147" s="605">
        <f t="shared" si="309"/>
        <v>520000</v>
      </c>
      <c r="AC1147" s="607">
        <f t="shared" si="323"/>
        <v>200000</v>
      </c>
      <c r="AD1147" s="266"/>
      <c r="AE1147" s="266"/>
    </row>
    <row r="1148" spans="1:31" s="272" customFormat="1" ht="63" x14ac:dyDescent="0.25">
      <c r="A1148" s="698">
        <v>1113</v>
      </c>
      <c r="B1148" s="373">
        <v>44127</v>
      </c>
      <c r="C1148" s="358" t="s">
        <v>7286</v>
      </c>
      <c r="D1148" s="358"/>
      <c r="E1148" s="358" t="s">
        <v>2404</v>
      </c>
      <c r="F1148" s="335" t="s">
        <v>7288</v>
      </c>
      <c r="G1148" s="269"/>
      <c r="H1148" s="335" t="s">
        <v>849</v>
      </c>
      <c r="I1148" s="358" t="s">
        <v>7287</v>
      </c>
      <c r="J1148" s="269"/>
      <c r="K1148" s="269"/>
      <c r="L1148" s="266"/>
      <c r="M1148" s="278"/>
      <c r="N1148" s="439"/>
      <c r="O1148" s="678" t="s">
        <v>4918</v>
      </c>
      <c r="P1148" s="678" t="s">
        <v>180</v>
      </c>
      <c r="Q1148" s="507">
        <v>300</v>
      </c>
      <c r="R1148" s="549">
        <v>500000</v>
      </c>
      <c r="S1148" s="507">
        <v>300000</v>
      </c>
      <c r="T1148" s="279">
        <f t="shared" ref="T1148:T1149" si="343">R1148+S1148</f>
        <v>800000</v>
      </c>
      <c r="U1148" s="266"/>
      <c r="V1148" s="266"/>
      <c r="W1148" s="266"/>
      <c r="X1148" s="266"/>
      <c r="Y1148" s="271">
        <v>0.4</v>
      </c>
      <c r="Z1148" s="605">
        <f t="shared" si="308"/>
        <v>320000</v>
      </c>
      <c r="AA1148" s="266"/>
      <c r="AB1148" s="605">
        <f t="shared" si="309"/>
        <v>520000</v>
      </c>
      <c r="AC1148" s="607">
        <f t="shared" si="323"/>
        <v>200000</v>
      </c>
      <c r="AD1148" s="266"/>
      <c r="AE1148" s="266"/>
    </row>
    <row r="1149" spans="1:31" s="272" customFormat="1" ht="47.25" x14ac:dyDescent="0.25">
      <c r="A1149" s="701">
        <v>1114</v>
      </c>
      <c r="B1149" s="373">
        <v>44128</v>
      </c>
      <c r="C1149" s="358" t="s">
        <v>7291</v>
      </c>
      <c r="D1149" s="358"/>
      <c r="E1149" s="358" t="s">
        <v>3646</v>
      </c>
      <c r="F1149" s="335" t="s">
        <v>7289</v>
      </c>
      <c r="G1149" s="269"/>
      <c r="H1149" s="335" t="s">
        <v>3499</v>
      </c>
      <c r="I1149" s="358" t="s">
        <v>7290</v>
      </c>
      <c r="J1149" s="269" t="s">
        <v>7292</v>
      </c>
      <c r="K1149" s="269"/>
      <c r="L1149" s="266"/>
      <c r="M1149" s="278"/>
      <c r="N1149" s="439"/>
      <c r="O1149" s="678" t="s">
        <v>5963</v>
      </c>
      <c r="P1149" s="678" t="s">
        <v>180</v>
      </c>
      <c r="Q1149" s="507">
        <v>1000</v>
      </c>
      <c r="R1149" s="549">
        <v>500000</v>
      </c>
      <c r="S1149" s="507">
        <v>675000</v>
      </c>
      <c r="T1149" s="279">
        <f t="shared" si="343"/>
        <v>1175000</v>
      </c>
      <c r="U1149" s="269"/>
      <c r="V1149" s="269"/>
      <c r="W1149" s="269"/>
      <c r="X1149" s="269"/>
      <c r="Y1149" s="516">
        <v>0.4</v>
      </c>
      <c r="Z1149" s="605">
        <f t="shared" si="308"/>
        <v>470000</v>
      </c>
      <c r="AA1149" s="266"/>
      <c r="AB1149" s="605">
        <f t="shared" si="309"/>
        <v>763750</v>
      </c>
      <c r="AC1149" s="607">
        <f t="shared" si="323"/>
        <v>293750</v>
      </c>
      <c r="AD1149" s="266"/>
      <c r="AE1149" s="266"/>
    </row>
    <row r="1150" spans="1:31" s="272" customFormat="1" ht="63" x14ac:dyDescent="0.25">
      <c r="A1150" s="311">
        <v>1115</v>
      </c>
      <c r="B1150" s="373">
        <v>44128</v>
      </c>
      <c r="C1150" s="358" t="s">
        <v>7293</v>
      </c>
      <c r="D1150" s="358" t="s">
        <v>350</v>
      </c>
      <c r="E1150" s="358" t="s">
        <v>3646</v>
      </c>
      <c r="F1150" s="335" t="s">
        <v>7295</v>
      </c>
      <c r="G1150" s="269"/>
      <c r="H1150" s="335" t="s">
        <v>1772</v>
      </c>
      <c r="I1150" s="358" t="s">
        <v>7294</v>
      </c>
      <c r="J1150" s="269"/>
      <c r="K1150" s="269"/>
      <c r="L1150" s="266"/>
      <c r="M1150" s="278"/>
      <c r="N1150" s="439"/>
      <c r="O1150" s="678" t="s">
        <v>4918</v>
      </c>
      <c r="P1150" s="678" t="s">
        <v>180</v>
      </c>
      <c r="Q1150" s="507">
        <v>300</v>
      </c>
      <c r="R1150" s="549">
        <v>500000</v>
      </c>
      <c r="S1150" s="507">
        <v>300000</v>
      </c>
      <c r="T1150" s="279">
        <f t="shared" ref="T1150:T1151" si="344">R1150+S1150</f>
        <v>800000</v>
      </c>
      <c r="U1150" s="266"/>
      <c r="V1150" s="266"/>
      <c r="W1150" s="266"/>
      <c r="X1150" s="266"/>
      <c r="Y1150" s="271">
        <v>0.4</v>
      </c>
      <c r="Z1150" s="605">
        <f t="shared" si="308"/>
        <v>320000</v>
      </c>
      <c r="AA1150" s="266"/>
      <c r="AB1150" s="605">
        <f t="shared" si="309"/>
        <v>520000</v>
      </c>
      <c r="AC1150" s="607">
        <f t="shared" si="323"/>
        <v>200000</v>
      </c>
      <c r="AD1150" s="266"/>
      <c r="AE1150" s="266"/>
    </row>
    <row r="1151" spans="1:31" s="272" customFormat="1" ht="47.25" x14ac:dyDescent="0.25">
      <c r="A1151" s="698">
        <v>1116</v>
      </c>
      <c r="B1151" s="373">
        <v>44128</v>
      </c>
      <c r="C1151" s="358" t="s">
        <v>7296</v>
      </c>
      <c r="D1151" s="358"/>
      <c r="E1151" s="358" t="s">
        <v>2404</v>
      </c>
      <c r="F1151" s="335" t="s">
        <v>7298</v>
      </c>
      <c r="G1151" s="269"/>
      <c r="H1151" s="335" t="s">
        <v>849</v>
      </c>
      <c r="I1151" s="358" t="s">
        <v>7297</v>
      </c>
      <c r="J1151" s="269"/>
      <c r="K1151" s="269"/>
      <c r="L1151" s="266"/>
      <c r="M1151" s="278"/>
      <c r="N1151" s="439"/>
      <c r="O1151" s="269" t="s">
        <v>5712</v>
      </c>
      <c r="P1151" s="678" t="s">
        <v>180</v>
      </c>
      <c r="Q1151" s="507">
        <v>100</v>
      </c>
      <c r="R1151" s="549">
        <v>500000</v>
      </c>
      <c r="S1151" s="507"/>
      <c r="T1151" s="279">
        <f t="shared" si="344"/>
        <v>500000</v>
      </c>
      <c r="U1151" s="269"/>
      <c r="V1151" s="269"/>
      <c r="W1151" s="269"/>
      <c r="X1151" s="269"/>
      <c r="Y1151" s="516">
        <v>0.4</v>
      </c>
      <c r="Z1151" s="605">
        <f t="shared" si="308"/>
        <v>200000</v>
      </c>
      <c r="AA1151" s="266"/>
      <c r="AB1151" s="605">
        <f t="shared" si="309"/>
        <v>325000</v>
      </c>
      <c r="AC1151" s="607">
        <f t="shared" si="323"/>
        <v>125000</v>
      </c>
      <c r="AD1151" s="266"/>
      <c r="AE1151" s="266"/>
    </row>
    <row r="1152" spans="1:31" ht="47.25" x14ac:dyDescent="0.25">
      <c r="A1152" s="699">
        <v>1117</v>
      </c>
      <c r="B1152" s="22">
        <v>44130</v>
      </c>
      <c r="C1152" s="148" t="s">
        <v>7299</v>
      </c>
      <c r="D1152" s="148" t="s">
        <v>3024</v>
      </c>
      <c r="E1152" s="148" t="s">
        <v>3646</v>
      </c>
      <c r="F1152" s="101" t="s">
        <v>7301</v>
      </c>
      <c r="G1152" s="10"/>
      <c r="H1152" s="101" t="s">
        <v>1177</v>
      </c>
      <c r="I1152" s="148" t="s">
        <v>7300</v>
      </c>
      <c r="J1152" s="10"/>
      <c r="K1152" s="10"/>
      <c r="L1152" s="19"/>
      <c r="M1152" s="13"/>
      <c r="N1152" s="249"/>
      <c r="O1152" s="777" t="s">
        <v>4918</v>
      </c>
      <c r="P1152" s="777" t="s">
        <v>180</v>
      </c>
      <c r="Q1152" s="356">
        <v>300</v>
      </c>
      <c r="R1152" s="350">
        <v>500000</v>
      </c>
      <c r="S1152" s="356">
        <v>300000</v>
      </c>
      <c r="T1152" s="99">
        <f t="shared" ref="T1152" si="345">R1152+S1152</f>
        <v>800000</v>
      </c>
      <c r="U1152" s="19"/>
      <c r="V1152" s="19"/>
      <c r="W1152" s="19"/>
      <c r="X1152" s="19"/>
      <c r="Y1152" s="165">
        <v>0.4</v>
      </c>
      <c r="Z1152" s="376">
        <f t="shared" si="308"/>
        <v>320000</v>
      </c>
      <c r="AA1152" s="19"/>
      <c r="AB1152" s="376">
        <f t="shared" si="309"/>
        <v>520000</v>
      </c>
      <c r="AC1152" s="38">
        <f t="shared" si="323"/>
        <v>200000</v>
      </c>
      <c r="AD1152" s="19"/>
      <c r="AE1152" s="19"/>
    </row>
    <row r="1153" spans="1:31" ht="47.25" x14ac:dyDescent="0.25">
      <c r="A1153" s="700">
        <v>1118</v>
      </c>
      <c r="B1153" s="22">
        <v>44130</v>
      </c>
      <c r="C1153" s="148" t="s">
        <v>7302</v>
      </c>
      <c r="D1153" s="148" t="s">
        <v>3024</v>
      </c>
      <c r="E1153" s="148" t="s">
        <v>3646</v>
      </c>
      <c r="F1153" s="101" t="s">
        <v>7304</v>
      </c>
      <c r="G1153" s="10"/>
      <c r="H1153" s="101" t="s">
        <v>448</v>
      </c>
      <c r="I1153" s="148" t="s">
        <v>7303</v>
      </c>
      <c r="J1153" s="10"/>
      <c r="K1153" s="10"/>
      <c r="L1153" s="19"/>
      <c r="M1153" s="13"/>
      <c r="N1153" s="249"/>
      <c r="O1153" s="777" t="s">
        <v>4918</v>
      </c>
      <c r="P1153" s="777" t="s">
        <v>180</v>
      </c>
      <c r="Q1153" s="356">
        <v>300</v>
      </c>
      <c r="R1153" s="350">
        <v>500000</v>
      </c>
      <c r="S1153" s="356">
        <v>300000</v>
      </c>
      <c r="T1153" s="99">
        <f t="shared" ref="T1153:T1154" si="346">R1153+S1153</f>
        <v>800000</v>
      </c>
      <c r="U1153" s="19"/>
      <c r="V1153" s="19"/>
      <c r="W1153" s="19"/>
      <c r="X1153" s="19"/>
      <c r="Y1153" s="165">
        <v>0.4</v>
      </c>
      <c r="Z1153" s="376">
        <f t="shared" si="308"/>
        <v>320000</v>
      </c>
      <c r="AA1153" s="19"/>
      <c r="AB1153" s="376">
        <f t="shared" si="309"/>
        <v>520000</v>
      </c>
      <c r="AC1153" s="38">
        <f t="shared" si="323"/>
        <v>200000</v>
      </c>
      <c r="AD1153" s="19"/>
      <c r="AE1153" s="19"/>
    </row>
    <row r="1154" spans="1:31" ht="47.25" x14ac:dyDescent="0.25">
      <c r="A1154" s="113">
        <v>1119</v>
      </c>
      <c r="B1154" s="22">
        <v>44130</v>
      </c>
      <c r="C1154" s="148" t="s">
        <v>7305</v>
      </c>
      <c r="D1154" s="148"/>
      <c r="E1154" s="148" t="s">
        <v>3646</v>
      </c>
      <c r="F1154" s="101" t="s">
        <v>7307</v>
      </c>
      <c r="G1154" s="10"/>
      <c r="H1154" s="101" t="s">
        <v>3974</v>
      </c>
      <c r="I1154" s="148" t="s">
        <v>7306</v>
      </c>
      <c r="J1154" s="10" t="s">
        <v>7308</v>
      </c>
      <c r="K1154" s="10"/>
      <c r="L1154" s="19"/>
      <c r="M1154" s="13"/>
      <c r="N1154" s="249"/>
      <c r="O1154" s="19" t="s">
        <v>398</v>
      </c>
      <c r="P1154" s="19" t="s">
        <v>278</v>
      </c>
      <c r="Q1154" s="19">
        <v>5000</v>
      </c>
      <c r="R1154" s="13">
        <v>500000</v>
      </c>
      <c r="S1154" s="19">
        <v>2250000</v>
      </c>
      <c r="T1154" s="19">
        <f t="shared" si="346"/>
        <v>2750000</v>
      </c>
      <c r="U1154" s="19"/>
      <c r="V1154" s="19"/>
      <c r="W1154" s="19"/>
      <c r="X1154" s="19"/>
      <c r="Y1154" s="165">
        <v>0.4</v>
      </c>
      <c r="Z1154" s="376">
        <f t="shared" ref="Z1154:Z1217" si="347">T1154*Y1154</f>
        <v>1100000</v>
      </c>
      <c r="AA1154" s="19"/>
      <c r="AB1154" s="376">
        <f t="shared" si="309"/>
        <v>1787500</v>
      </c>
      <c r="AC1154" s="38">
        <f t="shared" si="323"/>
        <v>687500</v>
      </c>
      <c r="AD1154" s="19" t="s">
        <v>7469</v>
      </c>
      <c r="AE1154" s="19"/>
    </row>
    <row r="1155" spans="1:31" s="272" customFormat="1" ht="31.5" x14ac:dyDescent="0.25">
      <c r="A1155" s="701">
        <v>1120</v>
      </c>
      <c r="B1155" s="373">
        <v>44130</v>
      </c>
      <c r="C1155" s="358" t="s">
        <v>7309</v>
      </c>
      <c r="D1155" s="358" t="s">
        <v>3024</v>
      </c>
      <c r="E1155" s="358" t="s">
        <v>3646</v>
      </c>
      <c r="F1155" s="335" t="s">
        <v>7311</v>
      </c>
      <c r="G1155" s="269"/>
      <c r="H1155" s="335" t="s">
        <v>4564</v>
      </c>
      <c r="I1155" s="358" t="s">
        <v>7310</v>
      </c>
      <c r="J1155" s="269"/>
      <c r="K1155" s="269"/>
      <c r="L1155" s="266"/>
      <c r="M1155" s="278"/>
      <c r="N1155" s="439"/>
      <c r="O1155" s="678" t="s">
        <v>4918</v>
      </c>
      <c r="P1155" s="678" t="s">
        <v>180</v>
      </c>
      <c r="Q1155" s="507">
        <v>300</v>
      </c>
      <c r="R1155" s="549">
        <v>500000</v>
      </c>
      <c r="S1155" s="507">
        <v>300000</v>
      </c>
      <c r="T1155" s="279">
        <f t="shared" ref="T1155" si="348">R1155+S1155</f>
        <v>800000</v>
      </c>
      <c r="U1155" s="266"/>
      <c r="V1155" s="266"/>
      <c r="W1155" s="266"/>
      <c r="X1155" s="266"/>
      <c r="Y1155" s="271">
        <v>0.4</v>
      </c>
      <c r="Z1155" s="605">
        <f t="shared" si="347"/>
        <v>320000</v>
      </c>
      <c r="AA1155" s="266"/>
      <c r="AB1155" s="605">
        <f t="shared" ref="AB1155:AB1218" si="349">T1155*0.65</f>
        <v>520000</v>
      </c>
      <c r="AC1155" s="607">
        <f t="shared" si="323"/>
        <v>200000</v>
      </c>
      <c r="AD1155" s="266"/>
      <c r="AE1155" s="266"/>
    </row>
    <row r="1156" spans="1:31" s="272" customFormat="1" ht="63" x14ac:dyDescent="0.25">
      <c r="A1156" s="311">
        <v>1121</v>
      </c>
      <c r="B1156" s="373">
        <v>44131</v>
      </c>
      <c r="C1156" s="358" t="s">
        <v>7312</v>
      </c>
      <c r="D1156" s="358"/>
      <c r="E1156" s="358" t="s">
        <v>4753</v>
      </c>
      <c r="F1156" s="335" t="s">
        <v>7314</v>
      </c>
      <c r="G1156" s="269"/>
      <c r="H1156" s="335" t="s">
        <v>168</v>
      </c>
      <c r="I1156" s="358" t="s">
        <v>7313</v>
      </c>
      <c r="J1156" s="269"/>
      <c r="K1156" s="269"/>
      <c r="L1156" s="266"/>
      <c r="M1156" s="278"/>
      <c r="N1156" s="439"/>
      <c r="O1156" s="678" t="s">
        <v>4918</v>
      </c>
      <c r="P1156" s="678" t="s">
        <v>94</v>
      </c>
      <c r="Q1156" s="507">
        <v>300</v>
      </c>
      <c r="R1156" s="549"/>
      <c r="S1156" s="507">
        <v>300000</v>
      </c>
      <c r="T1156" s="279">
        <f t="shared" ref="T1156:T1158" si="350">R1156+S1156</f>
        <v>300000</v>
      </c>
      <c r="U1156" s="266"/>
      <c r="V1156" s="266"/>
      <c r="W1156" s="266"/>
      <c r="X1156" s="266"/>
      <c r="Y1156" s="271">
        <v>0.4</v>
      </c>
      <c r="Z1156" s="605">
        <f t="shared" si="347"/>
        <v>120000</v>
      </c>
      <c r="AA1156" s="266"/>
      <c r="AB1156" s="605">
        <f t="shared" si="349"/>
        <v>195000</v>
      </c>
      <c r="AC1156" s="607">
        <f t="shared" si="323"/>
        <v>75000</v>
      </c>
      <c r="AD1156" s="266"/>
      <c r="AE1156" s="266"/>
    </row>
    <row r="1157" spans="1:31" s="272" customFormat="1" ht="31.5" x14ac:dyDescent="0.25">
      <c r="A1157" s="698">
        <v>1122</v>
      </c>
      <c r="B1157" s="373">
        <v>44132</v>
      </c>
      <c r="C1157" s="358" t="s">
        <v>7393</v>
      </c>
      <c r="D1157" s="358" t="s">
        <v>3024</v>
      </c>
      <c r="E1157" s="358" t="s">
        <v>3646</v>
      </c>
      <c r="F1157" s="335" t="s">
        <v>7394</v>
      </c>
      <c r="G1157" s="269"/>
      <c r="H1157" s="335" t="s">
        <v>168</v>
      </c>
      <c r="I1157" s="358" t="s">
        <v>7392</v>
      </c>
      <c r="J1157" s="269"/>
      <c r="K1157" s="269"/>
      <c r="L1157" s="266"/>
      <c r="M1157" s="278"/>
      <c r="N1157" s="439"/>
      <c r="O1157" s="678" t="s">
        <v>4918</v>
      </c>
      <c r="P1157" s="678" t="s">
        <v>180</v>
      </c>
      <c r="Q1157" s="507">
        <v>300</v>
      </c>
      <c r="R1157" s="549">
        <v>500000</v>
      </c>
      <c r="S1157" s="507">
        <v>300000</v>
      </c>
      <c r="T1157" s="279">
        <f t="shared" si="350"/>
        <v>800000</v>
      </c>
      <c r="U1157" s="266"/>
      <c r="V1157" s="266"/>
      <c r="W1157" s="266"/>
      <c r="X1157" s="266"/>
      <c r="Y1157" s="271">
        <v>0.4</v>
      </c>
      <c r="Z1157" s="605">
        <f t="shared" si="347"/>
        <v>320000</v>
      </c>
      <c r="AA1157" s="266"/>
      <c r="AB1157" s="605">
        <f t="shared" si="349"/>
        <v>520000</v>
      </c>
      <c r="AC1157" s="607">
        <f t="shared" si="323"/>
        <v>200000</v>
      </c>
      <c r="AD1157" s="266"/>
      <c r="AE1157" s="266"/>
    </row>
    <row r="1158" spans="1:31" s="272" customFormat="1" ht="47.25" x14ac:dyDescent="0.25">
      <c r="A1158" s="701">
        <v>1123</v>
      </c>
      <c r="B1158" s="373">
        <v>44132</v>
      </c>
      <c r="C1158" s="358" t="s">
        <v>7395</v>
      </c>
      <c r="D1158" s="358"/>
      <c r="E1158" s="358" t="s">
        <v>2404</v>
      </c>
      <c r="F1158" s="335" t="s">
        <v>7397</v>
      </c>
      <c r="G1158" s="269"/>
      <c r="H1158" s="335" t="s">
        <v>1177</v>
      </c>
      <c r="I1158" s="358" t="s">
        <v>7396</v>
      </c>
      <c r="J1158" s="269"/>
      <c r="K1158" s="269"/>
      <c r="L1158" s="266"/>
      <c r="M1158" s="278"/>
      <c r="N1158" s="439"/>
      <c r="O1158" s="269" t="s">
        <v>5712</v>
      </c>
      <c r="P1158" s="678" t="s">
        <v>180</v>
      </c>
      <c r="Q1158" s="507">
        <v>100</v>
      </c>
      <c r="R1158" s="549">
        <v>500000</v>
      </c>
      <c r="S1158" s="507"/>
      <c r="T1158" s="279">
        <f t="shared" si="350"/>
        <v>500000</v>
      </c>
      <c r="U1158" s="266"/>
      <c r="V1158" s="266"/>
      <c r="W1158" s="266"/>
      <c r="X1158" s="266"/>
      <c r="Y1158" s="271">
        <v>0.4</v>
      </c>
      <c r="Z1158" s="605">
        <f t="shared" si="347"/>
        <v>200000</v>
      </c>
      <c r="AA1158" s="266"/>
      <c r="AB1158" s="605">
        <f t="shared" si="349"/>
        <v>325000</v>
      </c>
      <c r="AC1158" s="607">
        <f t="shared" si="323"/>
        <v>125000</v>
      </c>
      <c r="AD1158" s="266"/>
      <c r="AE1158" s="266"/>
    </row>
    <row r="1159" spans="1:31" ht="63" x14ac:dyDescent="0.25">
      <c r="A1159" s="700">
        <v>1124</v>
      </c>
      <c r="B1159" s="22">
        <v>44132</v>
      </c>
      <c r="C1159" s="148" t="s">
        <v>6171</v>
      </c>
      <c r="D1159" s="148"/>
      <c r="E1159" s="148" t="s">
        <v>3646</v>
      </c>
      <c r="F1159" s="101" t="s">
        <v>6173</v>
      </c>
      <c r="G1159" s="10"/>
      <c r="H1159" s="101" t="s">
        <v>273</v>
      </c>
      <c r="I1159" s="148" t="s">
        <v>6172</v>
      </c>
      <c r="J1159" s="10"/>
      <c r="K1159" s="10"/>
      <c r="L1159" s="19"/>
      <c r="M1159" s="13"/>
      <c r="N1159" s="249"/>
      <c r="O1159" s="10" t="s">
        <v>5712</v>
      </c>
      <c r="P1159" s="777" t="s">
        <v>180</v>
      </c>
      <c r="Q1159" s="356">
        <v>100</v>
      </c>
      <c r="R1159" s="350">
        <v>500000</v>
      </c>
      <c r="S1159" s="356"/>
      <c r="T1159" s="99">
        <f t="shared" ref="T1159:T1162" si="351">R1159+S1159</f>
        <v>500000</v>
      </c>
      <c r="U1159" s="19"/>
      <c r="V1159" s="19"/>
      <c r="W1159" s="19"/>
      <c r="X1159" s="19"/>
      <c r="Y1159" s="165">
        <v>0.4</v>
      </c>
      <c r="Z1159" s="376">
        <f t="shared" si="347"/>
        <v>200000</v>
      </c>
      <c r="AA1159" s="19"/>
      <c r="AB1159" s="376">
        <f t="shared" si="349"/>
        <v>325000</v>
      </c>
      <c r="AC1159" s="38">
        <f t="shared" si="323"/>
        <v>125000</v>
      </c>
      <c r="AD1159" s="19" t="s">
        <v>783</v>
      </c>
      <c r="AE1159" s="19"/>
    </row>
    <row r="1160" spans="1:31" s="481" customFormat="1" ht="63" x14ac:dyDescent="0.25">
      <c r="A1160" s="818">
        <v>1125</v>
      </c>
      <c r="B1160" s="476">
        <v>44132</v>
      </c>
      <c r="C1160" s="477" t="s">
        <v>7398</v>
      </c>
      <c r="D1160" s="477" t="s">
        <v>3622</v>
      </c>
      <c r="E1160" s="477" t="s">
        <v>3622</v>
      </c>
      <c r="F1160" s="478" t="s">
        <v>7399</v>
      </c>
      <c r="G1160" s="274"/>
      <c r="H1160" s="478" t="s">
        <v>849</v>
      </c>
      <c r="I1160" s="477" t="s">
        <v>7400</v>
      </c>
      <c r="J1160" s="274"/>
      <c r="K1160" s="274"/>
      <c r="L1160" s="274"/>
      <c r="M1160" s="273"/>
      <c r="N1160" s="479"/>
      <c r="O1160" s="274" t="s">
        <v>4959</v>
      </c>
      <c r="P1160" s="274" t="s">
        <v>180</v>
      </c>
      <c r="Q1160" s="274">
        <v>2000</v>
      </c>
      <c r="R1160" s="273">
        <v>500000</v>
      </c>
      <c r="S1160" s="274">
        <v>1100000</v>
      </c>
      <c r="T1160" s="274">
        <f t="shared" si="351"/>
        <v>1600000</v>
      </c>
      <c r="U1160" s="274"/>
      <c r="V1160" s="274"/>
      <c r="W1160" s="274"/>
      <c r="X1160" s="274"/>
      <c r="Y1160" s="480">
        <v>0.1</v>
      </c>
      <c r="Z1160" s="605">
        <f t="shared" si="347"/>
        <v>160000</v>
      </c>
      <c r="AA1160" s="274"/>
      <c r="AB1160" s="605">
        <f t="shared" si="349"/>
        <v>1040000</v>
      </c>
      <c r="AC1160" s="605">
        <f t="shared" si="323"/>
        <v>880000</v>
      </c>
      <c r="AD1160" s="274"/>
      <c r="AE1160" s="274"/>
    </row>
    <row r="1161" spans="1:31" s="481" customFormat="1" ht="31.5" x14ac:dyDescent="0.25">
      <c r="A1161" s="539">
        <v>1126</v>
      </c>
      <c r="B1161" s="476">
        <v>44132</v>
      </c>
      <c r="C1161" s="477" t="s">
        <v>7401</v>
      </c>
      <c r="D1161" s="477" t="s">
        <v>3622</v>
      </c>
      <c r="E1161" s="477" t="s">
        <v>3622</v>
      </c>
      <c r="F1161" s="478" t="s">
        <v>7402</v>
      </c>
      <c r="G1161" s="274"/>
      <c r="H1161" s="478" t="s">
        <v>2043</v>
      </c>
      <c r="I1161" s="477" t="s">
        <v>7403</v>
      </c>
      <c r="J1161" s="274"/>
      <c r="K1161" s="274"/>
      <c r="L1161" s="274"/>
      <c r="M1161" s="273"/>
      <c r="N1161" s="479"/>
      <c r="O1161" s="649" t="s">
        <v>4918</v>
      </c>
      <c r="P1161" s="649" t="s">
        <v>180</v>
      </c>
      <c r="Q1161" s="508">
        <v>300</v>
      </c>
      <c r="R1161" s="415">
        <v>500000</v>
      </c>
      <c r="S1161" s="508">
        <v>300000</v>
      </c>
      <c r="T1161" s="280">
        <f t="shared" si="351"/>
        <v>800000</v>
      </c>
      <c r="U1161" s="274"/>
      <c r="V1161" s="274"/>
      <c r="W1161" s="274"/>
      <c r="X1161" s="274"/>
      <c r="Y1161" s="480">
        <v>0.4</v>
      </c>
      <c r="Z1161" s="605">
        <f t="shared" si="347"/>
        <v>320000</v>
      </c>
      <c r="AA1161" s="274"/>
      <c r="AB1161" s="605">
        <f t="shared" si="349"/>
        <v>520000</v>
      </c>
      <c r="AC1161" s="605">
        <f t="shared" si="323"/>
        <v>200000</v>
      </c>
      <c r="AD1161" s="274"/>
      <c r="AE1161" s="274"/>
    </row>
    <row r="1162" spans="1:31" s="272" customFormat="1" ht="47.25" x14ac:dyDescent="0.25">
      <c r="A1162" s="311">
        <v>1127</v>
      </c>
      <c r="B1162" s="373">
        <v>44133</v>
      </c>
      <c r="C1162" s="358" t="s">
        <v>7404</v>
      </c>
      <c r="D1162" s="358" t="s">
        <v>3479</v>
      </c>
      <c r="E1162" s="358" t="s">
        <v>3479</v>
      </c>
      <c r="F1162" s="335" t="s">
        <v>7406</v>
      </c>
      <c r="G1162" s="269"/>
      <c r="H1162" s="335" t="s">
        <v>849</v>
      </c>
      <c r="I1162" s="358" t="s">
        <v>7405</v>
      </c>
      <c r="J1162" s="269"/>
      <c r="K1162" s="269"/>
      <c r="L1162" s="266"/>
      <c r="M1162" s="278"/>
      <c r="N1162" s="439"/>
      <c r="O1162" s="678" t="s">
        <v>5963</v>
      </c>
      <c r="P1162" s="678" t="s">
        <v>180</v>
      </c>
      <c r="Q1162" s="507">
        <v>1000</v>
      </c>
      <c r="R1162" s="549">
        <v>500000</v>
      </c>
      <c r="S1162" s="507">
        <v>675000</v>
      </c>
      <c r="T1162" s="279">
        <f t="shared" si="351"/>
        <v>1175000</v>
      </c>
      <c r="U1162" s="266"/>
      <c r="V1162" s="266"/>
      <c r="W1162" s="266"/>
      <c r="X1162" s="266"/>
      <c r="Y1162" s="271">
        <v>0.4</v>
      </c>
      <c r="Z1162" s="605">
        <f t="shared" si="347"/>
        <v>470000</v>
      </c>
      <c r="AA1162" s="266"/>
      <c r="AB1162" s="605">
        <f t="shared" si="349"/>
        <v>763750</v>
      </c>
      <c r="AC1162" s="607">
        <f t="shared" si="323"/>
        <v>293750</v>
      </c>
      <c r="AD1162" s="266"/>
      <c r="AE1162" s="266"/>
    </row>
    <row r="1163" spans="1:31" s="272" customFormat="1" ht="63" x14ac:dyDescent="0.25">
      <c r="A1163" s="698">
        <v>1128</v>
      </c>
      <c r="B1163" s="373">
        <v>44133</v>
      </c>
      <c r="C1163" s="358" t="s">
        <v>7407</v>
      </c>
      <c r="D1163" s="358" t="s">
        <v>457</v>
      </c>
      <c r="E1163" s="358" t="s">
        <v>457</v>
      </c>
      <c r="F1163" s="335" t="s">
        <v>7409</v>
      </c>
      <c r="G1163" s="269"/>
      <c r="H1163" s="335" t="s">
        <v>5352</v>
      </c>
      <c r="I1163" s="358" t="s">
        <v>7408</v>
      </c>
      <c r="J1163" s="269"/>
      <c r="K1163" s="269"/>
      <c r="L1163" s="266"/>
      <c r="M1163" s="278"/>
      <c r="N1163" s="439"/>
      <c r="O1163" s="678" t="s">
        <v>4918</v>
      </c>
      <c r="P1163" s="678" t="s">
        <v>180</v>
      </c>
      <c r="Q1163" s="507">
        <v>300</v>
      </c>
      <c r="R1163" s="549">
        <v>500000</v>
      </c>
      <c r="S1163" s="507">
        <v>300000</v>
      </c>
      <c r="T1163" s="279">
        <f t="shared" ref="T1163" si="352">R1163+S1163</f>
        <v>800000</v>
      </c>
      <c r="U1163" s="266"/>
      <c r="V1163" s="266"/>
      <c r="W1163" s="266"/>
      <c r="X1163" s="266"/>
      <c r="Y1163" s="271">
        <v>0.4</v>
      </c>
      <c r="Z1163" s="605">
        <f t="shared" si="347"/>
        <v>320000</v>
      </c>
      <c r="AA1163" s="266"/>
      <c r="AB1163" s="605">
        <f t="shared" si="349"/>
        <v>520000</v>
      </c>
      <c r="AC1163" s="607">
        <f t="shared" si="323"/>
        <v>200000</v>
      </c>
      <c r="AD1163" s="266"/>
      <c r="AE1163" s="266"/>
    </row>
    <row r="1164" spans="1:31" s="272" customFormat="1" ht="31.5" x14ac:dyDescent="0.25">
      <c r="A1164" s="701">
        <v>1129</v>
      </c>
      <c r="B1164" s="373">
        <v>44134</v>
      </c>
      <c r="C1164" s="358" t="s">
        <v>7410</v>
      </c>
      <c r="D1164" s="358" t="s">
        <v>2404</v>
      </c>
      <c r="E1164" s="358" t="s">
        <v>2404</v>
      </c>
      <c r="F1164" s="335" t="s">
        <v>7412</v>
      </c>
      <c r="G1164" s="269"/>
      <c r="H1164" s="335" t="s">
        <v>7413</v>
      </c>
      <c r="I1164" s="358" t="s">
        <v>7411</v>
      </c>
      <c r="J1164" s="269"/>
      <c r="K1164" s="269"/>
      <c r="L1164" s="266"/>
      <c r="M1164" s="278"/>
      <c r="N1164" s="439"/>
      <c r="O1164" s="678" t="s">
        <v>4918</v>
      </c>
      <c r="P1164" s="678" t="s">
        <v>180</v>
      </c>
      <c r="Q1164" s="507">
        <v>300</v>
      </c>
      <c r="R1164" s="549">
        <v>500000</v>
      </c>
      <c r="S1164" s="507">
        <v>300000</v>
      </c>
      <c r="T1164" s="279">
        <f t="shared" ref="T1164:T1165" si="353">R1164+S1164</f>
        <v>800000</v>
      </c>
      <c r="U1164" s="266"/>
      <c r="V1164" s="266"/>
      <c r="W1164" s="266"/>
      <c r="X1164" s="266"/>
      <c r="Y1164" s="271">
        <v>0.4</v>
      </c>
      <c r="Z1164" s="605">
        <f t="shared" si="347"/>
        <v>320000</v>
      </c>
      <c r="AA1164" s="266"/>
      <c r="AB1164" s="605">
        <f t="shared" si="349"/>
        <v>520000</v>
      </c>
      <c r="AC1164" s="607">
        <f t="shared" si="323"/>
        <v>200000</v>
      </c>
      <c r="AD1164" s="266"/>
      <c r="AE1164" s="266"/>
    </row>
    <row r="1165" spans="1:31" ht="63" x14ac:dyDescent="0.25">
      <c r="A1165" s="700">
        <v>1130</v>
      </c>
      <c r="B1165" s="22">
        <v>44135</v>
      </c>
      <c r="C1165" s="148" t="s">
        <v>7449</v>
      </c>
      <c r="D1165" s="148"/>
      <c r="E1165" s="148" t="s">
        <v>5768</v>
      </c>
      <c r="F1165" s="101" t="s">
        <v>7451</v>
      </c>
      <c r="G1165" s="10"/>
      <c r="H1165" s="101" t="s">
        <v>849</v>
      </c>
      <c r="I1165" s="148" t="s">
        <v>7450</v>
      </c>
      <c r="J1165" s="10"/>
      <c r="K1165" s="10"/>
      <c r="L1165" s="19"/>
      <c r="M1165" s="13"/>
      <c r="N1165" s="249"/>
      <c r="O1165" s="19" t="s">
        <v>4932</v>
      </c>
      <c r="P1165" s="693" t="s">
        <v>180</v>
      </c>
      <c r="Q1165" s="365">
        <v>500</v>
      </c>
      <c r="R1165" s="364">
        <v>500000</v>
      </c>
      <c r="S1165" s="365">
        <v>425000</v>
      </c>
      <c r="T1165" s="219">
        <f t="shared" si="353"/>
        <v>925000</v>
      </c>
      <c r="U1165" s="19"/>
      <c r="V1165" s="19"/>
      <c r="W1165" s="19"/>
      <c r="X1165" s="19"/>
      <c r="Y1165" s="165">
        <v>0.4</v>
      </c>
      <c r="Z1165" s="376">
        <f t="shared" si="347"/>
        <v>370000</v>
      </c>
      <c r="AA1165" s="19"/>
      <c r="AB1165" s="376">
        <f t="shared" si="349"/>
        <v>601250</v>
      </c>
      <c r="AC1165" s="38">
        <f t="shared" si="323"/>
        <v>231250</v>
      </c>
      <c r="AD1165" s="19" t="s">
        <v>7452</v>
      </c>
      <c r="AE1165" s="19"/>
    </row>
    <row r="1166" spans="1:31" s="272" customFormat="1" ht="47.25" x14ac:dyDescent="0.25">
      <c r="A1166" s="698">
        <v>1131</v>
      </c>
      <c r="B1166" s="373">
        <v>44135</v>
      </c>
      <c r="C1166" s="358" t="s">
        <v>7453</v>
      </c>
      <c r="D1166" s="358" t="s">
        <v>474</v>
      </c>
      <c r="E1166" s="358"/>
      <c r="F1166" s="335" t="s">
        <v>7454</v>
      </c>
      <c r="G1166" s="269"/>
      <c r="H1166" s="335" t="s">
        <v>1772</v>
      </c>
      <c r="I1166" s="358" t="s">
        <v>7455</v>
      </c>
      <c r="J1166" s="269"/>
      <c r="K1166" s="269"/>
      <c r="L1166" s="266"/>
      <c r="M1166" s="278"/>
      <c r="N1166" s="439"/>
      <c r="O1166" s="678" t="s">
        <v>4918</v>
      </c>
      <c r="P1166" s="678" t="s">
        <v>180</v>
      </c>
      <c r="Q1166" s="507">
        <v>300</v>
      </c>
      <c r="R1166" s="549">
        <v>500000</v>
      </c>
      <c r="S1166" s="507">
        <v>300000</v>
      </c>
      <c r="T1166" s="279">
        <f t="shared" ref="T1166:T1168" si="354">R1166+S1166</f>
        <v>800000</v>
      </c>
      <c r="U1166" s="266"/>
      <c r="V1166" s="266"/>
      <c r="W1166" s="266"/>
      <c r="X1166" s="266"/>
      <c r="Y1166" s="271">
        <v>0.4</v>
      </c>
      <c r="Z1166" s="605">
        <f t="shared" ref="Z1166" si="355">T1166*Y1166</f>
        <v>320000</v>
      </c>
      <c r="AA1166" s="266"/>
      <c r="AB1166" s="605">
        <f t="shared" si="349"/>
        <v>520000</v>
      </c>
      <c r="AC1166" s="607">
        <f t="shared" si="323"/>
        <v>200000</v>
      </c>
      <c r="AD1166" s="266"/>
      <c r="AE1166" s="266"/>
    </row>
    <row r="1167" spans="1:31" s="272" customFormat="1" ht="47.25" x14ac:dyDescent="0.25">
      <c r="A1167" s="701">
        <v>1132</v>
      </c>
      <c r="B1167" s="373">
        <v>44138</v>
      </c>
      <c r="C1167" s="358" t="s">
        <v>7472</v>
      </c>
      <c r="D1167" s="358" t="s">
        <v>5693</v>
      </c>
      <c r="E1167" s="358" t="s">
        <v>5693</v>
      </c>
      <c r="F1167" s="335" t="s">
        <v>7473</v>
      </c>
      <c r="G1167" s="269"/>
      <c r="H1167" s="335" t="s">
        <v>322</v>
      </c>
      <c r="I1167" s="358" t="s">
        <v>7474</v>
      </c>
      <c r="J1167" s="269"/>
      <c r="K1167" s="269"/>
      <c r="L1167" s="266"/>
      <c r="M1167" s="278"/>
      <c r="N1167" s="439"/>
      <c r="O1167" s="269" t="s">
        <v>5712</v>
      </c>
      <c r="P1167" s="678" t="s">
        <v>180</v>
      </c>
      <c r="Q1167" s="507">
        <v>100</v>
      </c>
      <c r="R1167" s="549">
        <v>500000</v>
      </c>
      <c r="S1167" s="507"/>
      <c r="T1167" s="279">
        <f t="shared" si="354"/>
        <v>500000</v>
      </c>
      <c r="U1167" s="266"/>
      <c r="V1167" s="266"/>
      <c r="W1167" s="266"/>
      <c r="X1167" s="266"/>
      <c r="Y1167" s="271">
        <v>0.4</v>
      </c>
      <c r="Z1167" s="605">
        <f t="shared" si="347"/>
        <v>200000</v>
      </c>
      <c r="AA1167" s="266"/>
      <c r="AB1167" s="605">
        <f t="shared" si="349"/>
        <v>325000</v>
      </c>
      <c r="AC1167" s="607">
        <f t="shared" si="323"/>
        <v>125000</v>
      </c>
      <c r="AD1167" s="266"/>
      <c r="AE1167" s="266"/>
    </row>
    <row r="1168" spans="1:31" s="272" customFormat="1" ht="47.25" x14ac:dyDescent="0.25">
      <c r="A1168" s="311">
        <v>1133</v>
      </c>
      <c r="B1168" s="373">
        <v>44138</v>
      </c>
      <c r="C1168" s="358" t="s">
        <v>7475</v>
      </c>
      <c r="D1168" s="358" t="s">
        <v>3646</v>
      </c>
      <c r="E1168" s="358" t="s">
        <v>3479</v>
      </c>
      <c r="F1168" s="335" t="s">
        <v>7476</v>
      </c>
      <c r="G1168" s="269"/>
      <c r="H1168" s="335" t="s">
        <v>448</v>
      </c>
      <c r="I1168" s="358" t="s">
        <v>7477</v>
      </c>
      <c r="J1168" s="269"/>
      <c r="K1168" s="269"/>
      <c r="L1168" s="266"/>
      <c r="M1168" s="278"/>
      <c r="N1168" s="439"/>
      <c r="O1168" s="266" t="s">
        <v>4932</v>
      </c>
      <c r="P1168" s="649" t="s">
        <v>180</v>
      </c>
      <c r="Q1168" s="508">
        <v>500</v>
      </c>
      <c r="R1168" s="415">
        <v>500000</v>
      </c>
      <c r="S1168" s="508">
        <v>425000</v>
      </c>
      <c r="T1168" s="280">
        <f t="shared" si="354"/>
        <v>925000</v>
      </c>
      <c r="U1168" s="266"/>
      <c r="V1168" s="266"/>
      <c r="W1168" s="266"/>
      <c r="X1168" s="266"/>
      <c r="Y1168" s="271">
        <v>0.4</v>
      </c>
      <c r="Z1168" s="605">
        <f t="shared" si="347"/>
        <v>370000</v>
      </c>
      <c r="AA1168" s="266"/>
      <c r="AB1168" s="605">
        <f t="shared" si="349"/>
        <v>601250</v>
      </c>
      <c r="AC1168" s="607">
        <f t="shared" si="323"/>
        <v>231250</v>
      </c>
      <c r="AD1168" s="266"/>
      <c r="AE1168" s="266"/>
    </row>
    <row r="1169" spans="1:31" ht="47.25" x14ac:dyDescent="0.25">
      <c r="A1169" s="113">
        <v>1134</v>
      </c>
      <c r="B1169" s="22">
        <v>44138</v>
      </c>
      <c r="C1169" s="148" t="s">
        <v>7478</v>
      </c>
      <c r="D1169" s="148"/>
      <c r="E1169" s="148" t="s">
        <v>3646</v>
      </c>
      <c r="F1169" s="101" t="s">
        <v>7481</v>
      </c>
      <c r="G1169" s="10"/>
      <c r="H1169" s="101" t="s">
        <v>3314</v>
      </c>
      <c r="I1169" s="148" t="s">
        <v>7480</v>
      </c>
      <c r="J1169" s="37" t="s">
        <v>7483</v>
      </c>
      <c r="K1169" s="310" t="s">
        <v>7482</v>
      </c>
      <c r="L1169" s="19"/>
      <c r="M1169" s="13"/>
      <c r="N1169" s="249"/>
      <c r="O1169" s="777" t="s">
        <v>4918</v>
      </c>
      <c r="P1169" s="777" t="s">
        <v>180</v>
      </c>
      <c r="Q1169" s="356">
        <v>300</v>
      </c>
      <c r="R1169" s="350">
        <v>500000</v>
      </c>
      <c r="S1169" s="356">
        <v>300000</v>
      </c>
      <c r="T1169" s="99">
        <f t="shared" ref="T1169:T1232" si="356">R1169+S1169</f>
        <v>800000</v>
      </c>
      <c r="U1169" s="19"/>
      <c r="V1169" s="19"/>
      <c r="W1169" s="19"/>
      <c r="X1169" s="19"/>
      <c r="Y1169" s="165">
        <v>0.4</v>
      </c>
      <c r="Z1169" s="376">
        <f t="shared" si="347"/>
        <v>320000</v>
      </c>
      <c r="AA1169" s="19"/>
      <c r="AB1169" s="376">
        <f t="shared" si="349"/>
        <v>520000</v>
      </c>
      <c r="AC1169" s="38">
        <f t="shared" si="323"/>
        <v>200000</v>
      </c>
      <c r="AD1169" s="19" t="s">
        <v>7479</v>
      </c>
      <c r="AE1169" s="19"/>
    </row>
    <row r="1170" spans="1:31" ht="47.25" x14ac:dyDescent="0.25">
      <c r="A1170" s="699">
        <v>1135</v>
      </c>
      <c r="B1170" s="22">
        <v>44138</v>
      </c>
      <c r="C1170" s="148" t="s">
        <v>7484</v>
      </c>
      <c r="D1170" s="148" t="s">
        <v>3479</v>
      </c>
      <c r="E1170" s="148" t="s">
        <v>3479</v>
      </c>
      <c r="F1170" s="101" t="s">
        <v>7485</v>
      </c>
      <c r="G1170" s="10"/>
      <c r="H1170" s="101" t="s">
        <v>3314</v>
      </c>
      <c r="I1170" s="148" t="s">
        <v>7486</v>
      </c>
      <c r="J1170" s="10"/>
      <c r="K1170" s="10"/>
      <c r="L1170" s="19"/>
      <c r="M1170" s="13"/>
      <c r="N1170" s="249"/>
      <c r="O1170" s="19" t="s">
        <v>4932</v>
      </c>
      <c r="P1170" s="693" t="s">
        <v>180</v>
      </c>
      <c r="Q1170" s="365">
        <v>500</v>
      </c>
      <c r="R1170" s="364">
        <v>500000</v>
      </c>
      <c r="S1170" s="365">
        <v>425000</v>
      </c>
      <c r="T1170" s="219">
        <f t="shared" si="356"/>
        <v>925000</v>
      </c>
      <c r="U1170" s="19"/>
      <c r="V1170" s="19"/>
      <c r="W1170" s="19"/>
      <c r="X1170" s="19"/>
      <c r="Y1170" s="165">
        <v>0.4</v>
      </c>
      <c r="Z1170" s="376">
        <f t="shared" si="347"/>
        <v>370000</v>
      </c>
      <c r="AA1170" s="19"/>
      <c r="AB1170" s="376">
        <f t="shared" si="349"/>
        <v>601250</v>
      </c>
      <c r="AC1170" s="38">
        <f t="shared" si="323"/>
        <v>231250</v>
      </c>
      <c r="AD1170" s="19"/>
      <c r="AE1170" s="19"/>
    </row>
    <row r="1171" spans="1:31" s="272" customFormat="1" ht="47.25" x14ac:dyDescent="0.25">
      <c r="A1171" s="311">
        <v>1136</v>
      </c>
      <c r="B1171" s="373">
        <v>44139</v>
      </c>
      <c r="C1171" s="358" t="s">
        <v>7487</v>
      </c>
      <c r="D1171" s="358"/>
      <c r="E1171" s="358" t="s">
        <v>3646</v>
      </c>
      <c r="F1171" s="335" t="s">
        <v>7488</v>
      </c>
      <c r="G1171" s="269"/>
      <c r="H1171" s="335" t="s">
        <v>1177</v>
      </c>
      <c r="I1171" s="358" t="s">
        <v>7489</v>
      </c>
      <c r="J1171" s="498" t="s">
        <v>7490</v>
      </c>
      <c r="K1171" s="269"/>
      <c r="L1171" s="266"/>
      <c r="M1171" s="278"/>
      <c r="N1171" s="439"/>
      <c r="O1171" s="266" t="s">
        <v>2254</v>
      </c>
      <c r="P1171" s="266" t="s">
        <v>94</v>
      </c>
      <c r="Q1171" s="266">
        <v>5000</v>
      </c>
      <c r="R1171" s="278"/>
      <c r="S1171" s="266">
        <v>2250000</v>
      </c>
      <c r="T1171" s="280">
        <f t="shared" si="356"/>
        <v>2250000</v>
      </c>
      <c r="U1171" s="266"/>
      <c r="V1171" s="266"/>
      <c r="W1171" s="266"/>
      <c r="X1171" s="266"/>
      <c r="Y1171" s="271">
        <v>0.4</v>
      </c>
      <c r="Z1171" s="605">
        <f t="shared" si="347"/>
        <v>900000</v>
      </c>
      <c r="AA1171" s="266"/>
      <c r="AB1171" s="605">
        <f t="shared" si="349"/>
        <v>1462500</v>
      </c>
      <c r="AC1171" s="607">
        <f t="shared" si="323"/>
        <v>562500</v>
      </c>
      <c r="AD1171" s="266"/>
      <c r="AE1171" s="266"/>
    </row>
    <row r="1172" spans="1:31" s="272" customFormat="1" ht="47.25" x14ac:dyDescent="0.25">
      <c r="A1172" s="698">
        <v>1137</v>
      </c>
      <c r="B1172" s="373">
        <v>44139</v>
      </c>
      <c r="C1172" s="358" t="s">
        <v>7491</v>
      </c>
      <c r="D1172" s="358" t="s">
        <v>3479</v>
      </c>
      <c r="E1172" s="358" t="s">
        <v>3479</v>
      </c>
      <c r="F1172" s="335" t="s">
        <v>7492</v>
      </c>
      <c r="G1172" s="269"/>
      <c r="H1172" s="335" t="s">
        <v>1177</v>
      </c>
      <c r="I1172" s="358" t="s">
        <v>7493</v>
      </c>
      <c r="J1172" s="269"/>
      <c r="K1172" s="269"/>
      <c r="L1172" s="266"/>
      <c r="M1172" s="278"/>
      <c r="N1172" s="439"/>
      <c r="O1172" s="678" t="s">
        <v>4918</v>
      </c>
      <c r="P1172" s="678" t="s">
        <v>180</v>
      </c>
      <c r="Q1172" s="507">
        <v>300</v>
      </c>
      <c r="R1172" s="549">
        <v>500000</v>
      </c>
      <c r="S1172" s="507">
        <v>300000</v>
      </c>
      <c r="T1172" s="279">
        <f t="shared" ref="T1172" si="357">R1172+S1172</f>
        <v>800000</v>
      </c>
      <c r="U1172" s="266"/>
      <c r="V1172" s="266"/>
      <c r="W1172" s="266"/>
      <c r="X1172" s="266"/>
      <c r="Y1172" s="271">
        <v>0.4</v>
      </c>
      <c r="Z1172" s="605">
        <f t="shared" si="347"/>
        <v>320000</v>
      </c>
      <c r="AA1172" s="266"/>
      <c r="AB1172" s="605">
        <f t="shared" si="349"/>
        <v>520000</v>
      </c>
      <c r="AC1172" s="607">
        <f t="shared" si="323"/>
        <v>200000</v>
      </c>
      <c r="AD1172" s="266"/>
      <c r="AE1172" s="266"/>
    </row>
    <row r="1173" spans="1:31" s="272" customFormat="1" ht="78.75" x14ac:dyDescent="0.25">
      <c r="A1173" s="701">
        <v>1138</v>
      </c>
      <c r="B1173" s="373">
        <v>44139</v>
      </c>
      <c r="C1173" s="358" t="s">
        <v>7528</v>
      </c>
      <c r="D1173" s="358" t="s">
        <v>3479</v>
      </c>
      <c r="E1173" s="358" t="s">
        <v>3479</v>
      </c>
      <c r="F1173" s="335" t="s">
        <v>7530</v>
      </c>
      <c r="G1173" s="269"/>
      <c r="H1173" s="335" t="s">
        <v>168</v>
      </c>
      <c r="I1173" s="358" t="s">
        <v>7529</v>
      </c>
      <c r="J1173" s="269"/>
      <c r="K1173" s="269"/>
      <c r="L1173" s="266"/>
      <c r="M1173" s="278"/>
      <c r="N1173" s="439"/>
      <c r="O1173" s="678" t="s">
        <v>4918</v>
      </c>
      <c r="P1173" s="678" t="s">
        <v>180</v>
      </c>
      <c r="Q1173" s="507">
        <v>300</v>
      </c>
      <c r="R1173" s="549">
        <v>500000</v>
      </c>
      <c r="S1173" s="507">
        <v>300000</v>
      </c>
      <c r="T1173" s="279">
        <f t="shared" ref="T1173:T1174" si="358">R1173+S1173</f>
        <v>800000</v>
      </c>
      <c r="U1173" s="266"/>
      <c r="V1173" s="266"/>
      <c r="W1173" s="266"/>
      <c r="X1173" s="266"/>
      <c r="Y1173" s="271">
        <v>0.4</v>
      </c>
      <c r="Z1173" s="605">
        <f t="shared" ref="Z1173" si="359">T1173*Y1173</f>
        <v>320000</v>
      </c>
      <c r="AA1173" s="266">
        <v>100</v>
      </c>
      <c r="AB1173" s="605">
        <f t="shared" si="349"/>
        <v>520000</v>
      </c>
      <c r="AC1173" s="607">
        <f t="shared" si="323"/>
        <v>200000</v>
      </c>
      <c r="AD1173" s="266"/>
      <c r="AE1173" s="266"/>
    </row>
    <row r="1174" spans="1:31" ht="47.25" x14ac:dyDescent="0.25">
      <c r="A1174" s="700">
        <v>1139</v>
      </c>
      <c r="B1174" s="22">
        <v>44140</v>
      </c>
      <c r="C1174" s="148" t="s">
        <v>7531</v>
      </c>
      <c r="D1174" s="148"/>
      <c r="E1174" s="148" t="s">
        <v>3479</v>
      </c>
      <c r="F1174" s="101" t="s">
        <v>7532</v>
      </c>
      <c r="G1174" s="10"/>
      <c r="H1174" s="101" t="s">
        <v>7534</v>
      </c>
      <c r="I1174" s="148" t="s">
        <v>7533</v>
      </c>
      <c r="J1174" s="10"/>
      <c r="K1174" s="10"/>
      <c r="L1174" s="19"/>
      <c r="M1174" s="13"/>
      <c r="N1174" s="249"/>
      <c r="O1174" s="10" t="s">
        <v>5712</v>
      </c>
      <c r="P1174" s="777" t="s">
        <v>180</v>
      </c>
      <c r="Q1174" s="356">
        <v>100</v>
      </c>
      <c r="R1174" s="350">
        <v>500000</v>
      </c>
      <c r="S1174" s="356"/>
      <c r="T1174" s="99">
        <f t="shared" si="358"/>
        <v>500000</v>
      </c>
      <c r="U1174" s="19"/>
      <c r="V1174" s="19"/>
      <c r="W1174" s="19"/>
      <c r="X1174" s="19"/>
      <c r="Y1174" s="165">
        <v>0.4</v>
      </c>
      <c r="Z1174" s="376">
        <f t="shared" si="347"/>
        <v>200000</v>
      </c>
      <c r="AA1174" s="19"/>
      <c r="AB1174" s="376">
        <f t="shared" si="349"/>
        <v>325000</v>
      </c>
      <c r="AC1174" s="38">
        <f t="shared" si="323"/>
        <v>125000</v>
      </c>
      <c r="AD1174" s="19" t="s">
        <v>7535</v>
      </c>
      <c r="AE1174" s="19"/>
    </row>
    <row r="1175" spans="1:31" ht="47.25" x14ac:dyDescent="0.25">
      <c r="A1175" s="113">
        <v>1140</v>
      </c>
      <c r="B1175" s="22">
        <v>44140</v>
      </c>
      <c r="C1175" s="148" t="s">
        <v>7536</v>
      </c>
      <c r="D1175" s="148"/>
      <c r="E1175" s="148" t="s">
        <v>4753</v>
      </c>
      <c r="F1175" s="101" t="s">
        <v>7538</v>
      </c>
      <c r="G1175" s="10"/>
      <c r="H1175" s="101" t="s">
        <v>7534</v>
      </c>
      <c r="I1175" s="148" t="s">
        <v>7537</v>
      </c>
      <c r="J1175" s="10"/>
      <c r="K1175" s="10"/>
      <c r="L1175" s="19"/>
      <c r="M1175" s="13"/>
      <c r="N1175" s="249"/>
      <c r="O1175" s="777" t="s">
        <v>4918</v>
      </c>
      <c r="P1175" s="777" t="s">
        <v>180</v>
      </c>
      <c r="Q1175" s="356">
        <v>300</v>
      </c>
      <c r="R1175" s="350">
        <v>500000</v>
      </c>
      <c r="S1175" s="356">
        <v>300000</v>
      </c>
      <c r="T1175" s="99">
        <f t="shared" ref="T1175" si="360">R1175+S1175</f>
        <v>800000</v>
      </c>
      <c r="U1175" s="19"/>
      <c r="V1175" s="19"/>
      <c r="W1175" s="19"/>
      <c r="X1175" s="19"/>
      <c r="Y1175" s="165">
        <v>0.4</v>
      </c>
      <c r="Z1175" s="376">
        <f t="shared" si="347"/>
        <v>320000</v>
      </c>
      <c r="AA1175" s="19" t="s">
        <v>7540</v>
      </c>
      <c r="AB1175" s="376">
        <f t="shared" si="349"/>
        <v>520000</v>
      </c>
      <c r="AC1175" s="38">
        <f t="shared" si="323"/>
        <v>200000</v>
      </c>
      <c r="AD1175" s="19" t="s">
        <v>7539</v>
      </c>
      <c r="AE1175" s="19"/>
    </row>
    <row r="1176" spans="1:31" ht="47.25" x14ac:dyDescent="0.25">
      <c r="A1176" s="699">
        <v>1141</v>
      </c>
      <c r="B1176" s="22">
        <v>44141</v>
      </c>
      <c r="C1176" s="148" t="s">
        <v>7541</v>
      </c>
      <c r="D1176" s="148" t="s">
        <v>4279</v>
      </c>
      <c r="E1176" s="148" t="s">
        <v>3622</v>
      </c>
      <c r="F1176" s="101" t="s">
        <v>7542</v>
      </c>
      <c r="G1176" s="10"/>
      <c r="H1176" s="101" t="s">
        <v>1177</v>
      </c>
      <c r="I1176" s="148" t="s">
        <v>7543</v>
      </c>
      <c r="J1176" s="10"/>
      <c r="K1176" s="10"/>
      <c r="L1176" s="19"/>
      <c r="M1176" s="13"/>
      <c r="N1176" s="249"/>
      <c r="O1176" s="19" t="s">
        <v>4483</v>
      </c>
      <c r="P1176" s="19"/>
      <c r="Q1176" s="19"/>
      <c r="R1176" s="13"/>
      <c r="S1176" s="19"/>
      <c r="T1176" s="219">
        <f t="shared" si="356"/>
        <v>0</v>
      </c>
      <c r="U1176" s="19"/>
      <c r="V1176" s="19"/>
      <c r="W1176" s="19"/>
      <c r="X1176" s="19"/>
      <c r="Y1176" s="19"/>
      <c r="Z1176" s="376">
        <f t="shared" si="347"/>
        <v>0</v>
      </c>
      <c r="AA1176" s="19"/>
      <c r="AB1176" s="605">
        <f t="shared" si="349"/>
        <v>0</v>
      </c>
      <c r="AC1176" s="607">
        <f t="shared" ref="AC1176:AC1239" si="361">AB1176-Z1176</f>
        <v>0</v>
      </c>
      <c r="AD1176" s="19"/>
      <c r="AE1176" s="19"/>
    </row>
    <row r="1177" spans="1:31" s="272" customFormat="1" ht="47.25" x14ac:dyDescent="0.25">
      <c r="A1177" s="311">
        <v>1142</v>
      </c>
      <c r="B1177" s="373">
        <v>44144</v>
      </c>
      <c r="C1177" s="358" t="s">
        <v>7544</v>
      </c>
      <c r="D1177" s="358"/>
      <c r="E1177" s="358" t="s">
        <v>3479</v>
      </c>
      <c r="F1177" s="335" t="s">
        <v>7545</v>
      </c>
      <c r="G1177" s="269"/>
      <c r="H1177" s="335" t="s">
        <v>7534</v>
      </c>
      <c r="I1177" s="358" t="s">
        <v>7546</v>
      </c>
      <c r="J1177" s="269"/>
      <c r="K1177" s="269"/>
      <c r="L1177" s="266"/>
      <c r="M1177" s="278"/>
      <c r="N1177" s="439"/>
      <c r="O1177" s="678" t="s">
        <v>5963</v>
      </c>
      <c r="P1177" s="678" t="s">
        <v>180</v>
      </c>
      <c r="Q1177" s="507">
        <v>1000</v>
      </c>
      <c r="R1177" s="549">
        <v>500000</v>
      </c>
      <c r="S1177" s="507">
        <v>675000</v>
      </c>
      <c r="T1177" s="279">
        <f t="shared" si="356"/>
        <v>1175000</v>
      </c>
      <c r="U1177" s="266"/>
      <c r="V1177" s="266"/>
      <c r="W1177" s="266"/>
      <c r="X1177" s="266"/>
      <c r="Y1177" s="271">
        <v>0.4</v>
      </c>
      <c r="Z1177" s="605">
        <f t="shared" ref="Z1177:Z1179" si="362">T1177*Y1177</f>
        <v>470000</v>
      </c>
      <c r="AA1177" s="266"/>
      <c r="AB1177" s="605">
        <f t="shared" si="349"/>
        <v>763750</v>
      </c>
      <c r="AC1177" s="607">
        <f t="shared" si="361"/>
        <v>293750</v>
      </c>
      <c r="AD1177" s="266"/>
      <c r="AE1177" s="266"/>
    </row>
    <row r="1178" spans="1:31" ht="47.25" x14ac:dyDescent="0.25">
      <c r="A1178" s="113">
        <v>1143</v>
      </c>
      <c r="B1178" s="22">
        <v>44145</v>
      </c>
      <c r="C1178" s="148" t="s">
        <v>7547</v>
      </c>
      <c r="D1178" s="148"/>
      <c r="E1178" s="148" t="s">
        <v>3479</v>
      </c>
      <c r="F1178" s="101" t="s">
        <v>7548</v>
      </c>
      <c r="G1178" s="10"/>
      <c r="H1178" s="101" t="s">
        <v>7534</v>
      </c>
      <c r="I1178" s="148" t="s">
        <v>7549</v>
      </c>
      <c r="J1178" s="10"/>
      <c r="K1178" s="10"/>
      <c r="L1178" s="19"/>
      <c r="M1178" s="13"/>
      <c r="N1178" s="249"/>
      <c r="O1178" s="777" t="s">
        <v>4918</v>
      </c>
      <c r="P1178" s="777" t="s">
        <v>180</v>
      </c>
      <c r="Q1178" s="356">
        <v>300</v>
      </c>
      <c r="R1178" s="350">
        <v>500000</v>
      </c>
      <c r="S1178" s="356">
        <v>300000</v>
      </c>
      <c r="T1178" s="99">
        <f t="shared" si="356"/>
        <v>800000</v>
      </c>
      <c r="U1178" s="19"/>
      <c r="V1178" s="19"/>
      <c r="W1178" s="19"/>
      <c r="X1178" s="19"/>
      <c r="Y1178" s="165">
        <v>0.4</v>
      </c>
      <c r="Z1178" s="376">
        <f t="shared" si="362"/>
        <v>320000</v>
      </c>
      <c r="AA1178" s="19"/>
      <c r="AB1178" s="376">
        <f t="shared" si="349"/>
        <v>520000</v>
      </c>
      <c r="AC1178" s="38">
        <f t="shared" si="361"/>
        <v>200000</v>
      </c>
      <c r="AD1178" s="19" t="s">
        <v>7550</v>
      </c>
      <c r="AE1178" s="19"/>
    </row>
    <row r="1179" spans="1:31" s="272" customFormat="1" ht="63" x14ac:dyDescent="0.25">
      <c r="A1179" s="701">
        <v>1144</v>
      </c>
      <c r="B1179" s="373">
        <v>44145</v>
      </c>
      <c r="C1179" s="358" t="s">
        <v>7551</v>
      </c>
      <c r="D1179" s="358" t="s">
        <v>2404</v>
      </c>
      <c r="E1179" s="358" t="s">
        <v>2404</v>
      </c>
      <c r="F1179" s="335" t="s">
        <v>7552</v>
      </c>
      <c r="G1179" s="269"/>
      <c r="H1179" s="335" t="s">
        <v>1177</v>
      </c>
      <c r="I1179" s="358" t="s">
        <v>7553</v>
      </c>
      <c r="J1179" s="269"/>
      <c r="K1179" s="269"/>
      <c r="L1179" s="266"/>
      <c r="M1179" s="278"/>
      <c r="N1179" s="439"/>
      <c r="O1179" s="266" t="s">
        <v>4932</v>
      </c>
      <c r="P1179" s="649" t="s">
        <v>180</v>
      </c>
      <c r="Q1179" s="508">
        <v>500</v>
      </c>
      <c r="R1179" s="415">
        <v>500000</v>
      </c>
      <c r="S1179" s="508">
        <v>425000</v>
      </c>
      <c r="T1179" s="280">
        <f t="shared" si="356"/>
        <v>925000</v>
      </c>
      <c r="U1179" s="266"/>
      <c r="V1179" s="266"/>
      <c r="W1179" s="266"/>
      <c r="X1179" s="266"/>
      <c r="Y1179" s="271">
        <v>0.4</v>
      </c>
      <c r="Z1179" s="605">
        <f t="shared" si="362"/>
        <v>370000</v>
      </c>
      <c r="AA1179" s="266"/>
      <c r="AB1179" s="605">
        <f t="shared" si="349"/>
        <v>601250</v>
      </c>
      <c r="AC1179" s="607">
        <f t="shared" si="361"/>
        <v>231250</v>
      </c>
      <c r="AD1179" s="266"/>
      <c r="AE1179" s="266"/>
    </row>
    <row r="1180" spans="1:31" s="272" customFormat="1" ht="47.25" x14ac:dyDescent="0.25">
      <c r="A1180" s="311">
        <v>1145</v>
      </c>
      <c r="B1180" s="373">
        <v>44145</v>
      </c>
      <c r="C1180" s="358" t="s">
        <v>7554</v>
      </c>
      <c r="D1180" s="358" t="s">
        <v>350</v>
      </c>
      <c r="E1180" s="358" t="s">
        <v>4753</v>
      </c>
      <c r="F1180" s="335" t="s">
        <v>7555</v>
      </c>
      <c r="G1180" s="269"/>
      <c r="H1180" s="335" t="s">
        <v>345</v>
      </c>
      <c r="I1180" s="358" t="s">
        <v>7556</v>
      </c>
      <c r="J1180" s="269"/>
      <c r="K1180" s="269"/>
      <c r="L1180" s="266"/>
      <c r="M1180" s="278"/>
      <c r="N1180" s="439"/>
      <c r="O1180" s="678" t="s">
        <v>4918</v>
      </c>
      <c r="P1180" s="678" t="s">
        <v>180</v>
      </c>
      <c r="Q1180" s="507">
        <v>300</v>
      </c>
      <c r="R1180" s="549">
        <v>500000</v>
      </c>
      <c r="S1180" s="507">
        <v>300000</v>
      </c>
      <c r="T1180" s="279">
        <f t="shared" ref="T1180" si="363">R1180+S1180</f>
        <v>800000</v>
      </c>
      <c r="U1180" s="266"/>
      <c r="V1180" s="266"/>
      <c r="W1180" s="266"/>
      <c r="X1180" s="266"/>
      <c r="Y1180" s="271">
        <v>0.4</v>
      </c>
      <c r="Z1180" s="605">
        <f t="shared" ref="Z1180" si="364">T1180*Y1180</f>
        <v>320000</v>
      </c>
      <c r="AA1180" s="266"/>
      <c r="AB1180" s="605">
        <f t="shared" si="349"/>
        <v>520000</v>
      </c>
      <c r="AC1180" s="607">
        <f t="shared" si="361"/>
        <v>200000</v>
      </c>
      <c r="AD1180" s="266"/>
      <c r="AE1180" s="266"/>
    </row>
    <row r="1181" spans="1:31" s="272" customFormat="1" ht="31.5" x14ac:dyDescent="0.25">
      <c r="A1181" s="698">
        <v>1146</v>
      </c>
      <c r="B1181" s="373">
        <v>44145</v>
      </c>
      <c r="C1181" s="358" t="s">
        <v>7557</v>
      </c>
      <c r="D1181" s="358" t="s">
        <v>309</v>
      </c>
      <c r="E1181" s="358"/>
      <c r="F1181" s="335" t="s">
        <v>7558</v>
      </c>
      <c r="G1181" s="269"/>
      <c r="H1181" s="335" t="s">
        <v>2043</v>
      </c>
      <c r="I1181" s="358" t="s">
        <v>7559</v>
      </c>
      <c r="J1181" s="269"/>
      <c r="K1181" s="269"/>
      <c r="L1181" s="266"/>
      <c r="M1181" s="278"/>
      <c r="N1181" s="439"/>
      <c r="O1181" s="678" t="s">
        <v>4918</v>
      </c>
      <c r="P1181" s="678" t="s">
        <v>180</v>
      </c>
      <c r="Q1181" s="507">
        <v>300</v>
      </c>
      <c r="R1181" s="549">
        <v>500000</v>
      </c>
      <c r="S1181" s="507">
        <v>300000</v>
      </c>
      <c r="T1181" s="279">
        <f t="shared" ref="T1181:T1183" si="365">R1181+S1181</f>
        <v>800000</v>
      </c>
      <c r="U1181" s="266"/>
      <c r="V1181" s="266"/>
      <c r="W1181" s="266"/>
      <c r="X1181" s="266"/>
      <c r="Y1181" s="271">
        <v>0.4</v>
      </c>
      <c r="Z1181" s="605">
        <f t="shared" ref="Z1181:Z1183" si="366">T1181*Y1181</f>
        <v>320000</v>
      </c>
      <c r="AA1181" s="266"/>
      <c r="AB1181" s="605">
        <f t="shared" si="349"/>
        <v>520000</v>
      </c>
      <c r="AC1181" s="607">
        <f t="shared" si="361"/>
        <v>200000</v>
      </c>
      <c r="AD1181" s="266"/>
      <c r="AE1181" s="266"/>
    </row>
    <row r="1182" spans="1:31" s="272" customFormat="1" ht="47.25" x14ac:dyDescent="0.25">
      <c r="A1182" s="701">
        <v>1147</v>
      </c>
      <c r="B1182" s="373">
        <v>44146</v>
      </c>
      <c r="C1182" s="358" t="s">
        <v>7562</v>
      </c>
      <c r="D1182" s="358" t="s">
        <v>3024</v>
      </c>
      <c r="E1182" s="358"/>
      <c r="F1182" s="335" t="s">
        <v>7560</v>
      </c>
      <c r="G1182" s="269"/>
      <c r="H1182" s="335" t="s">
        <v>246</v>
      </c>
      <c r="I1182" s="358" t="s">
        <v>7561</v>
      </c>
      <c r="J1182" s="269" t="s">
        <v>450</v>
      </c>
      <c r="K1182" s="269"/>
      <c r="L1182" s="266"/>
      <c r="M1182" s="278"/>
      <c r="N1182" s="439"/>
      <c r="O1182" s="678" t="s">
        <v>4918</v>
      </c>
      <c r="P1182" s="678" t="s">
        <v>94</v>
      </c>
      <c r="Q1182" s="507">
        <v>300</v>
      </c>
      <c r="R1182" s="549"/>
      <c r="S1182" s="507">
        <v>300000</v>
      </c>
      <c r="T1182" s="279">
        <f t="shared" si="365"/>
        <v>300000</v>
      </c>
      <c r="U1182" s="266"/>
      <c r="V1182" s="266"/>
      <c r="W1182" s="266"/>
      <c r="X1182" s="266"/>
      <c r="Y1182" s="271">
        <v>0.45</v>
      </c>
      <c r="Z1182" s="605">
        <f t="shared" si="366"/>
        <v>135000</v>
      </c>
      <c r="AA1182" s="266"/>
      <c r="AB1182" s="605">
        <f t="shared" si="349"/>
        <v>195000</v>
      </c>
      <c r="AC1182" s="607">
        <f t="shared" si="361"/>
        <v>60000</v>
      </c>
      <c r="AD1182" s="266"/>
      <c r="AE1182" s="266"/>
    </row>
    <row r="1183" spans="1:31" s="272" customFormat="1" ht="47.25" x14ac:dyDescent="0.25">
      <c r="A1183" s="311">
        <v>1148</v>
      </c>
      <c r="B1183" s="373">
        <v>44146</v>
      </c>
      <c r="C1183" s="358" t="s">
        <v>7563</v>
      </c>
      <c r="D1183" s="358"/>
      <c r="E1183" s="358" t="s">
        <v>3479</v>
      </c>
      <c r="F1183" s="335" t="s">
        <v>7564</v>
      </c>
      <c r="G1183" s="269"/>
      <c r="H1183" s="335" t="s">
        <v>7534</v>
      </c>
      <c r="I1183" s="358" t="s">
        <v>7565</v>
      </c>
      <c r="J1183" s="269"/>
      <c r="K1183" s="269"/>
      <c r="L1183" s="266"/>
      <c r="M1183" s="278"/>
      <c r="N1183" s="439"/>
      <c r="O1183" s="266" t="s">
        <v>4932</v>
      </c>
      <c r="P1183" s="649" t="s">
        <v>180</v>
      </c>
      <c r="Q1183" s="508">
        <v>500</v>
      </c>
      <c r="R1183" s="415">
        <v>500000</v>
      </c>
      <c r="S1183" s="508">
        <v>425000</v>
      </c>
      <c r="T1183" s="280">
        <f t="shared" si="365"/>
        <v>925000</v>
      </c>
      <c r="U1183" s="266"/>
      <c r="V1183" s="266"/>
      <c r="W1183" s="266"/>
      <c r="X1183" s="266"/>
      <c r="Y1183" s="271">
        <v>0.4</v>
      </c>
      <c r="Z1183" s="605">
        <f t="shared" si="366"/>
        <v>370000</v>
      </c>
      <c r="AA1183" s="266"/>
      <c r="AB1183" s="605">
        <f t="shared" si="349"/>
        <v>601250</v>
      </c>
      <c r="AC1183" s="607">
        <f t="shared" si="361"/>
        <v>231250</v>
      </c>
      <c r="AD1183" s="266"/>
      <c r="AE1183" s="266"/>
    </row>
    <row r="1184" spans="1:31" s="272" customFormat="1" ht="47.25" x14ac:dyDescent="0.25">
      <c r="A1184" s="698">
        <v>1149</v>
      </c>
      <c r="B1184" s="373">
        <v>44147</v>
      </c>
      <c r="C1184" s="358" t="s">
        <v>7501</v>
      </c>
      <c r="D1184" s="358" t="s">
        <v>309</v>
      </c>
      <c r="E1184" s="358"/>
      <c r="F1184" s="335" t="s">
        <v>7504</v>
      </c>
      <c r="G1184" s="269"/>
      <c r="H1184" s="335" t="s">
        <v>273</v>
      </c>
      <c r="I1184" s="358" t="s">
        <v>7503</v>
      </c>
      <c r="J1184" s="269"/>
      <c r="K1184" s="269"/>
      <c r="L1184" s="266"/>
      <c r="M1184" s="278"/>
      <c r="N1184" s="439"/>
      <c r="O1184" s="678" t="s">
        <v>4918</v>
      </c>
      <c r="P1184" s="678" t="s">
        <v>180</v>
      </c>
      <c r="Q1184" s="507">
        <v>300</v>
      </c>
      <c r="R1184" s="549">
        <v>500000</v>
      </c>
      <c r="S1184" s="507">
        <v>300000</v>
      </c>
      <c r="T1184" s="279">
        <f t="shared" ref="T1184" si="367">R1184+S1184</f>
        <v>800000</v>
      </c>
      <c r="U1184" s="266"/>
      <c r="V1184" s="266"/>
      <c r="W1184" s="266"/>
      <c r="X1184" s="266"/>
      <c r="Y1184" s="271">
        <v>0.4</v>
      </c>
      <c r="Z1184" s="605">
        <f t="shared" ref="Z1184" si="368">T1184*Y1184</f>
        <v>320000</v>
      </c>
      <c r="AA1184" s="266"/>
      <c r="AB1184" s="605">
        <f t="shared" si="349"/>
        <v>520000</v>
      </c>
      <c r="AC1184" s="607">
        <f t="shared" si="361"/>
        <v>200000</v>
      </c>
      <c r="AD1184" s="266"/>
      <c r="AE1184" s="266"/>
    </row>
    <row r="1185" spans="1:31" ht="31.5" x14ac:dyDescent="0.25">
      <c r="A1185" s="699">
        <v>1150</v>
      </c>
      <c r="B1185" s="22">
        <v>44147</v>
      </c>
      <c r="C1185" s="148" t="s">
        <v>7566</v>
      </c>
      <c r="D1185" s="148" t="s">
        <v>3961</v>
      </c>
      <c r="E1185" s="148" t="s">
        <v>4753</v>
      </c>
      <c r="F1185" s="101" t="s">
        <v>7568</v>
      </c>
      <c r="G1185" s="10"/>
      <c r="H1185" s="101" t="s">
        <v>3540</v>
      </c>
      <c r="I1185" s="148" t="s">
        <v>7567</v>
      </c>
      <c r="J1185" s="10"/>
      <c r="K1185" s="10"/>
      <c r="L1185" s="19"/>
      <c r="M1185" s="13"/>
      <c r="N1185" s="249"/>
      <c r="O1185" s="777" t="s">
        <v>4918</v>
      </c>
      <c r="P1185" s="777" t="s">
        <v>180</v>
      </c>
      <c r="Q1185" s="356">
        <v>300</v>
      </c>
      <c r="R1185" s="350">
        <v>500000</v>
      </c>
      <c r="S1185" s="356">
        <v>300000</v>
      </c>
      <c r="T1185" s="99">
        <f t="shared" ref="T1185" si="369">R1185+S1185</f>
        <v>800000</v>
      </c>
      <c r="U1185" s="19"/>
      <c r="V1185" s="19"/>
      <c r="W1185" s="19"/>
      <c r="X1185" s="19"/>
      <c r="Y1185" s="165">
        <v>0.4</v>
      </c>
      <c r="Z1185" s="376">
        <f t="shared" ref="Z1185" si="370">T1185*Y1185</f>
        <v>320000</v>
      </c>
      <c r="AA1185" s="19"/>
      <c r="AB1185" s="376">
        <f t="shared" si="349"/>
        <v>520000</v>
      </c>
      <c r="AC1185" s="38">
        <f t="shared" si="361"/>
        <v>200000</v>
      </c>
      <c r="AD1185" s="19" t="s">
        <v>7569</v>
      </c>
      <c r="AE1185" s="19"/>
    </row>
    <row r="1186" spans="1:31" s="272" customFormat="1" ht="47.25" x14ac:dyDescent="0.25">
      <c r="A1186" s="311">
        <v>1151</v>
      </c>
      <c r="B1186" s="373">
        <v>44147</v>
      </c>
      <c r="C1186" s="358" t="s">
        <v>7570</v>
      </c>
      <c r="D1186" s="358"/>
      <c r="E1186" s="358"/>
      <c r="F1186" s="335" t="s">
        <v>7572</v>
      </c>
      <c r="G1186" s="269"/>
      <c r="H1186" s="335" t="s">
        <v>5755</v>
      </c>
      <c r="I1186" s="358" t="s">
        <v>7571</v>
      </c>
      <c r="J1186" s="269"/>
      <c r="K1186" s="269"/>
      <c r="L1186" s="266"/>
      <c r="M1186" s="278"/>
      <c r="N1186" s="439"/>
      <c r="O1186" s="678" t="s">
        <v>4918</v>
      </c>
      <c r="P1186" s="678" t="s">
        <v>180</v>
      </c>
      <c r="Q1186" s="507">
        <v>300</v>
      </c>
      <c r="R1186" s="549">
        <v>500000</v>
      </c>
      <c r="S1186" s="507">
        <v>300000</v>
      </c>
      <c r="T1186" s="279">
        <f t="shared" ref="T1186" si="371">R1186+S1186</f>
        <v>800000</v>
      </c>
      <c r="U1186" s="266"/>
      <c r="V1186" s="266"/>
      <c r="W1186" s="266"/>
      <c r="X1186" s="266"/>
      <c r="Y1186" s="271">
        <v>0.4</v>
      </c>
      <c r="Z1186" s="605">
        <f t="shared" ref="Z1186" si="372">T1186*Y1186</f>
        <v>320000</v>
      </c>
      <c r="AA1186" s="266"/>
      <c r="AB1186" s="605">
        <f t="shared" si="349"/>
        <v>520000</v>
      </c>
      <c r="AC1186" s="607">
        <f t="shared" si="361"/>
        <v>200000</v>
      </c>
      <c r="AD1186" s="266"/>
      <c r="AE1186" s="266"/>
    </row>
    <row r="1187" spans="1:31" ht="47.25" x14ac:dyDescent="0.25">
      <c r="A1187" s="113">
        <v>1152</v>
      </c>
      <c r="B1187" s="22">
        <v>44147</v>
      </c>
      <c r="C1187" s="148" t="s">
        <v>7573</v>
      </c>
      <c r="D1187" s="148" t="s">
        <v>3646</v>
      </c>
      <c r="E1187" s="148"/>
      <c r="F1187" s="101" t="s">
        <v>7507</v>
      </c>
      <c r="G1187" s="10"/>
      <c r="H1187" s="101" t="s">
        <v>273</v>
      </c>
      <c r="I1187" s="148" t="s">
        <v>7506</v>
      </c>
      <c r="J1187" s="10" t="s">
        <v>7574</v>
      </c>
      <c r="K1187" s="10"/>
      <c r="L1187" s="19"/>
      <c r="M1187" s="13"/>
      <c r="N1187" s="249"/>
      <c r="O1187" s="777" t="s">
        <v>4918</v>
      </c>
      <c r="P1187" s="777" t="s">
        <v>180</v>
      </c>
      <c r="Q1187" s="356">
        <v>300</v>
      </c>
      <c r="R1187" s="350">
        <v>500000</v>
      </c>
      <c r="S1187" s="356">
        <v>300000</v>
      </c>
      <c r="T1187" s="99">
        <f t="shared" ref="T1187:T1190" si="373">R1187+S1187</f>
        <v>800000</v>
      </c>
      <c r="U1187" s="19"/>
      <c r="V1187" s="19"/>
      <c r="W1187" s="19"/>
      <c r="X1187" s="19"/>
      <c r="Y1187" s="165">
        <v>0.4</v>
      </c>
      <c r="Z1187" s="376">
        <f t="shared" si="347"/>
        <v>320000</v>
      </c>
      <c r="AA1187" s="19"/>
      <c r="AB1187" s="376">
        <f t="shared" si="349"/>
        <v>520000</v>
      </c>
      <c r="AC1187" s="38">
        <f t="shared" si="361"/>
        <v>200000</v>
      </c>
      <c r="AD1187" s="19" t="s">
        <v>7575</v>
      </c>
      <c r="AE1187" s="19"/>
    </row>
    <row r="1188" spans="1:31" s="272" customFormat="1" ht="47.25" x14ac:dyDescent="0.25">
      <c r="A1188" s="701">
        <v>1153</v>
      </c>
      <c r="B1188" s="373">
        <v>44148</v>
      </c>
      <c r="C1188" s="358" t="s">
        <v>7576</v>
      </c>
      <c r="D1188" s="358" t="s">
        <v>474</v>
      </c>
      <c r="E1188" s="358" t="s">
        <v>4753</v>
      </c>
      <c r="F1188" s="335" t="s">
        <v>7578</v>
      </c>
      <c r="G1188" s="269"/>
      <c r="H1188" s="335" t="s">
        <v>273</v>
      </c>
      <c r="I1188" s="358" t="s">
        <v>7577</v>
      </c>
      <c r="J1188" s="269"/>
      <c r="K1188" s="269"/>
      <c r="L1188" s="266"/>
      <c r="M1188" s="278"/>
      <c r="N1188" s="439"/>
      <c r="O1188" s="678" t="s">
        <v>4918</v>
      </c>
      <c r="P1188" s="678" t="s">
        <v>180</v>
      </c>
      <c r="Q1188" s="507">
        <v>300</v>
      </c>
      <c r="R1188" s="549">
        <v>500000</v>
      </c>
      <c r="S1188" s="507">
        <v>300000</v>
      </c>
      <c r="T1188" s="279">
        <f t="shared" si="373"/>
        <v>800000</v>
      </c>
      <c r="U1188" s="266"/>
      <c r="V1188" s="266"/>
      <c r="W1188" s="266"/>
      <c r="X1188" s="266"/>
      <c r="Y1188" s="271">
        <v>0.4</v>
      </c>
      <c r="Z1188" s="605">
        <f t="shared" si="347"/>
        <v>320000</v>
      </c>
      <c r="AA1188" s="266"/>
      <c r="AB1188" s="605">
        <f t="shared" si="349"/>
        <v>520000</v>
      </c>
      <c r="AC1188" s="607">
        <f t="shared" si="361"/>
        <v>200000</v>
      </c>
      <c r="AD1188" s="266"/>
      <c r="AE1188" s="266"/>
    </row>
    <row r="1189" spans="1:31" ht="47.25" x14ac:dyDescent="0.25">
      <c r="A1189" s="700">
        <v>1154</v>
      </c>
      <c r="B1189" s="22">
        <v>44148</v>
      </c>
      <c r="C1189" s="148" t="s">
        <v>7579</v>
      </c>
      <c r="D1189" s="148" t="s">
        <v>3646</v>
      </c>
      <c r="E1189" s="148"/>
      <c r="F1189" s="101" t="s">
        <v>7581</v>
      </c>
      <c r="G1189" s="10"/>
      <c r="H1189" s="101" t="s">
        <v>322</v>
      </c>
      <c r="I1189" s="148" t="s">
        <v>7580</v>
      </c>
      <c r="J1189" s="10" t="s">
        <v>7582</v>
      </c>
      <c r="K1189" s="10"/>
      <c r="L1189" s="19"/>
      <c r="M1189" s="13"/>
      <c r="N1189" s="249"/>
      <c r="O1189" s="19" t="s">
        <v>4932</v>
      </c>
      <c r="P1189" s="693" t="s">
        <v>180</v>
      </c>
      <c r="Q1189" s="365">
        <v>500</v>
      </c>
      <c r="R1189" s="364">
        <v>500000</v>
      </c>
      <c r="S1189" s="365">
        <v>425000</v>
      </c>
      <c r="T1189" s="219">
        <f t="shared" si="373"/>
        <v>925000</v>
      </c>
      <c r="U1189" s="19"/>
      <c r="V1189" s="19"/>
      <c r="W1189" s="19"/>
      <c r="X1189" s="19"/>
      <c r="Y1189" s="165">
        <v>0.4</v>
      </c>
      <c r="Z1189" s="376">
        <f t="shared" si="347"/>
        <v>370000</v>
      </c>
      <c r="AA1189" s="19"/>
      <c r="AB1189" s="376">
        <f t="shared" si="349"/>
        <v>601250</v>
      </c>
      <c r="AC1189" s="38">
        <f t="shared" si="361"/>
        <v>231250</v>
      </c>
      <c r="AD1189" s="19" t="s">
        <v>7583</v>
      </c>
      <c r="AE1189" s="19"/>
    </row>
    <row r="1190" spans="1:31" ht="31.5" x14ac:dyDescent="0.25">
      <c r="A1190" s="113">
        <v>1155</v>
      </c>
      <c r="B1190" s="22">
        <v>44148</v>
      </c>
      <c r="C1190" s="148" t="s">
        <v>7586</v>
      </c>
      <c r="D1190" s="148" t="s">
        <v>3646</v>
      </c>
      <c r="E1190" s="148"/>
      <c r="F1190" s="101" t="s">
        <v>1255</v>
      </c>
      <c r="G1190" s="10"/>
      <c r="H1190" s="101" t="s">
        <v>1256</v>
      </c>
      <c r="I1190" s="148" t="s">
        <v>6507</v>
      </c>
      <c r="J1190" s="10">
        <v>834868068</v>
      </c>
      <c r="K1190" s="310" t="s">
        <v>7584</v>
      </c>
      <c r="L1190" s="19"/>
      <c r="M1190" s="13"/>
      <c r="N1190" s="249"/>
      <c r="O1190" s="777" t="s">
        <v>5963</v>
      </c>
      <c r="P1190" s="777" t="s">
        <v>94</v>
      </c>
      <c r="Q1190" s="356">
        <v>1000</v>
      </c>
      <c r="R1190" s="350"/>
      <c r="S1190" s="356">
        <v>675000</v>
      </c>
      <c r="T1190" s="99">
        <f t="shared" si="373"/>
        <v>675000</v>
      </c>
      <c r="U1190" s="10"/>
      <c r="V1190" s="10"/>
      <c r="W1190" s="10"/>
      <c r="X1190" s="10"/>
      <c r="Y1190" s="98">
        <v>0.4</v>
      </c>
      <c r="Z1190" s="376">
        <f t="shared" si="347"/>
        <v>270000</v>
      </c>
      <c r="AA1190" s="19"/>
      <c r="AB1190" s="376">
        <f t="shared" si="349"/>
        <v>438750</v>
      </c>
      <c r="AC1190" s="38">
        <f t="shared" si="361"/>
        <v>168750</v>
      </c>
      <c r="AD1190" s="19" t="s">
        <v>7585</v>
      </c>
      <c r="AE1190" s="19"/>
    </row>
    <row r="1191" spans="1:31" s="272" customFormat="1" ht="63" x14ac:dyDescent="0.25">
      <c r="A1191" s="701">
        <v>1156</v>
      </c>
      <c r="B1191" s="373">
        <v>44149</v>
      </c>
      <c r="C1191" s="358" t="s">
        <v>7587</v>
      </c>
      <c r="D1191" s="358" t="s">
        <v>3646</v>
      </c>
      <c r="E1191" s="358"/>
      <c r="F1191" s="335" t="s">
        <v>7510</v>
      </c>
      <c r="G1191" s="269"/>
      <c r="H1191" s="335" t="s">
        <v>7534</v>
      </c>
      <c r="I1191" s="358" t="s">
        <v>7511</v>
      </c>
      <c r="J1191" s="269">
        <v>987481964</v>
      </c>
      <c r="K1191" s="269"/>
      <c r="L1191" s="266"/>
      <c r="M1191" s="278"/>
      <c r="N1191" s="439"/>
      <c r="O1191" s="266" t="s">
        <v>4932</v>
      </c>
      <c r="P1191" s="649" t="s">
        <v>180</v>
      </c>
      <c r="Q1191" s="508">
        <v>500</v>
      </c>
      <c r="R1191" s="415">
        <v>500000</v>
      </c>
      <c r="S1191" s="508">
        <v>425000</v>
      </c>
      <c r="T1191" s="280">
        <f t="shared" si="356"/>
        <v>925000</v>
      </c>
      <c r="U1191" s="266"/>
      <c r="V1191" s="266"/>
      <c r="W1191" s="266"/>
      <c r="X1191" s="266"/>
      <c r="Y1191" s="271">
        <v>0.4</v>
      </c>
      <c r="Z1191" s="605">
        <f t="shared" si="347"/>
        <v>370000</v>
      </c>
      <c r="AA1191" s="266"/>
      <c r="AB1191" s="605">
        <f t="shared" si="349"/>
        <v>601250</v>
      </c>
      <c r="AC1191" s="607">
        <f t="shared" si="361"/>
        <v>231250</v>
      </c>
      <c r="AD1191" s="266"/>
      <c r="AE1191" s="266"/>
    </row>
    <row r="1192" spans="1:31" ht="47.25" x14ac:dyDescent="0.25">
      <c r="A1192" s="700">
        <v>1157</v>
      </c>
      <c r="B1192" s="22">
        <v>44151</v>
      </c>
      <c r="C1192" s="148" t="s">
        <v>7588</v>
      </c>
      <c r="D1192" s="148" t="s">
        <v>3646</v>
      </c>
      <c r="E1192" s="148"/>
      <c r="F1192" s="101" t="s">
        <v>7589</v>
      </c>
      <c r="G1192" s="10"/>
      <c r="H1192" s="27" t="s">
        <v>7591</v>
      </c>
      <c r="I1192" s="148" t="s">
        <v>7590</v>
      </c>
      <c r="J1192" s="10"/>
      <c r="K1192" s="10"/>
      <c r="L1192" s="19"/>
      <c r="M1192" s="13"/>
      <c r="N1192" s="249"/>
      <c r="O1192" s="777" t="s">
        <v>5963</v>
      </c>
      <c r="P1192" s="777" t="s">
        <v>180</v>
      </c>
      <c r="Q1192" s="356">
        <v>1000</v>
      </c>
      <c r="R1192" s="350">
        <v>500000</v>
      </c>
      <c r="S1192" s="356">
        <v>675000</v>
      </c>
      <c r="T1192" s="99">
        <f t="shared" si="356"/>
        <v>1175000</v>
      </c>
      <c r="U1192" s="10"/>
      <c r="V1192" s="10"/>
      <c r="W1192" s="10"/>
      <c r="X1192" s="10"/>
      <c r="Y1192" s="98">
        <v>0.4</v>
      </c>
      <c r="Z1192" s="376">
        <f t="shared" ref="Z1192" si="374">T1192*Y1192</f>
        <v>470000</v>
      </c>
      <c r="AA1192" s="19"/>
      <c r="AB1192" s="376">
        <f t="shared" si="349"/>
        <v>763750</v>
      </c>
      <c r="AC1192" s="38">
        <f t="shared" si="361"/>
        <v>293750</v>
      </c>
      <c r="AD1192" s="19" t="s">
        <v>236</v>
      </c>
      <c r="AE1192" s="19"/>
    </row>
    <row r="1193" spans="1:31" s="272" customFormat="1" ht="47.25" x14ac:dyDescent="0.25">
      <c r="A1193" s="698">
        <v>1158</v>
      </c>
      <c r="B1193" s="373">
        <v>44154</v>
      </c>
      <c r="C1193" s="358" t="s">
        <v>7521</v>
      </c>
      <c r="D1193" s="358" t="s">
        <v>3646</v>
      </c>
      <c r="E1193" s="358" t="s">
        <v>4753</v>
      </c>
      <c r="F1193" s="335" t="s">
        <v>7522</v>
      </c>
      <c r="G1193" s="269"/>
      <c r="H1193" s="335" t="s">
        <v>1177</v>
      </c>
      <c r="I1193" s="358" t="s">
        <v>7523</v>
      </c>
      <c r="J1193" s="269" t="s">
        <v>7524</v>
      </c>
      <c r="K1193" s="269"/>
      <c r="L1193" s="266"/>
      <c r="M1193" s="278"/>
      <c r="N1193" s="439"/>
      <c r="O1193" s="678" t="s">
        <v>5963</v>
      </c>
      <c r="P1193" s="678" t="s">
        <v>180</v>
      </c>
      <c r="Q1193" s="507">
        <v>1000</v>
      </c>
      <c r="R1193" s="549">
        <v>500000</v>
      </c>
      <c r="S1193" s="507">
        <v>675000</v>
      </c>
      <c r="T1193" s="279">
        <f t="shared" ref="T1193:T1194" si="375">R1193+S1193</f>
        <v>1175000</v>
      </c>
      <c r="U1193" s="266"/>
      <c r="V1193" s="266"/>
      <c r="W1193" s="266"/>
      <c r="X1193" s="266"/>
      <c r="Y1193" s="516">
        <v>0.35</v>
      </c>
      <c r="Z1193" s="605">
        <f t="shared" si="347"/>
        <v>411250</v>
      </c>
      <c r="AA1193" s="266"/>
      <c r="AB1193" s="605">
        <f t="shared" si="349"/>
        <v>763750</v>
      </c>
      <c r="AC1193" s="607">
        <f t="shared" si="361"/>
        <v>352500</v>
      </c>
      <c r="AD1193" s="266"/>
      <c r="AE1193" s="266"/>
    </row>
    <row r="1194" spans="1:31" s="272" customFormat="1" ht="47.25" x14ac:dyDescent="0.25">
      <c r="A1194" s="701">
        <v>1159</v>
      </c>
      <c r="B1194" s="373">
        <v>44154</v>
      </c>
      <c r="C1194" s="358" t="s">
        <v>7592</v>
      </c>
      <c r="D1194" s="358" t="s">
        <v>2404</v>
      </c>
      <c r="E1194" s="358" t="s">
        <v>2404</v>
      </c>
      <c r="F1194" s="335" t="s">
        <v>7593</v>
      </c>
      <c r="G1194" s="269"/>
      <c r="H1194" s="335" t="s">
        <v>7534</v>
      </c>
      <c r="I1194" s="358" t="s">
        <v>7594</v>
      </c>
      <c r="J1194" s="269"/>
      <c r="K1194" s="269"/>
      <c r="L1194" s="266"/>
      <c r="M1194" s="278"/>
      <c r="N1194" s="439"/>
      <c r="O1194" s="678" t="s">
        <v>4918</v>
      </c>
      <c r="P1194" s="678" t="s">
        <v>180</v>
      </c>
      <c r="Q1194" s="507">
        <v>300</v>
      </c>
      <c r="R1194" s="549">
        <v>500000</v>
      </c>
      <c r="S1194" s="507">
        <v>300000</v>
      </c>
      <c r="T1194" s="279">
        <f t="shared" si="375"/>
        <v>800000</v>
      </c>
      <c r="U1194" s="266"/>
      <c r="V1194" s="266"/>
      <c r="W1194" s="266"/>
      <c r="X1194" s="266"/>
      <c r="Y1194" s="271">
        <v>0.4</v>
      </c>
      <c r="Z1194" s="605">
        <f t="shared" ref="Z1194" si="376">T1194*Y1194</f>
        <v>320000</v>
      </c>
      <c r="AA1194" s="266"/>
      <c r="AB1194" s="605">
        <f t="shared" si="349"/>
        <v>520000</v>
      </c>
      <c r="AC1194" s="607">
        <f t="shared" si="361"/>
        <v>200000</v>
      </c>
      <c r="AD1194" s="266"/>
      <c r="AE1194" s="266"/>
    </row>
    <row r="1195" spans="1:31" s="272" customFormat="1" ht="47.25" x14ac:dyDescent="0.25">
      <c r="A1195" s="311">
        <v>1160</v>
      </c>
      <c r="B1195" s="373">
        <v>44155</v>
      </c>
      <c r="C1195" s="358" t="s">
        <v>7595</v>
      </c>
      <c r="D1195" s="358" t="s">
        <v>2404</v>
      </c>
      <c r="E1195" s="358" t="s">
        <v>2404</v>
      </c>
      <c r="F1195" s="335" t="s">
        <v>7598</v>
      </c>
      <c r="G1195" s="269"/>
      <c r="H1195" s="335" t="s">
        <v>7597</v>
      </c>
      <c r="I1195" s="358" t="s">
        <v>7596</v>
      </c>
      <c r="J1195" s="269"/>
      <c r="K1195" s="269"/>
      <c r="L1195" s="266"/>
      <c r="M1195" s="278"/>
      <c r="N1195" s="439"/>
      <c r="O1195" s="678" t="s">
        <v>4918</v>
      </c>
      <c r="P1195" s="678" t="s">
        <v>180</v>
      </c>
      <c r="Q1195" s="507">
        <v>300</v>
      </c>
      <c r="R1195" s="549">
        <v>500000</v>
      </c>
      <c r="S1195" s="507">
        <v>300000</v>
      </c>
      <c r="T1195" s="279">
        <f t="shared" ref="T1195" si="377">R1195+S1195</f>
        <v>800000</v>
      </c>
      <c r="U1195" s="266"/>
      <c r="V1195" s="266"/>
      <c r="W1195" s="266"/>
      <c r="X1195" s="266"/>
      <c r="Y1195" s="271">
        <v>0.4</v>
      </c>
      <c r="Z1195" s="605">
        <f t="shared" ref="Z1195" si="378">T1195*Y1195</f>
        <v>320000</v>
      </c>
      <c r="AA1195" s="266"/>
      <c r="AB1195" s="605">
        <f t="shared" si="349"/>
        <v>520000</v>
      </c>
      <c r="AC1195" s="607">
        <f t="shared" si="361"/>
        <v>200000</v>
      </c>
      <c r="AD1195" s="266"/>
      <c r="AE1195" s="266"/>
    </row>
    <row r="1196" spans="1:31" s="272" customFormat="1" ht="63" x14ac:dyDescent="0.25">
      <c r="A1196" s="698">
        <v>1161</v>
      </c>
      <c r="B1196" s="373">
        <v>44155</v>
      </c>
      <c r="C1196" s="358" t="s">
        <v>7600</v>
      </c>
      <c r="D1196" s="358" t="s">
        <v>474</v>
      </c>
      <c r="E1196" s="358"/>
      <c r="F1196" s="335" t="s">
        <v>7599</v>
      </c>
      <c r="G1196" s="269"/>
      <c r="H1196" s="335" t="s">
        <v>345</v>
      </c>
      <c r="I1196" s="358" t="s">
        <v>7601</v>
      </c>
      <c r="J1196" s="269"/>
      <c r="K1196" s="269"/>
      <c r="L1196" s="266"/>
      <c r="M1196" s="278"/>
      <c r="N1196" s="439"/>
      <c r="O1196" s="678" t="s">
        <v>4918</v>
      </c>
      <c r="P1196" s="678" t="s">
        <v>180</v>
      </c>
      <c r="Q1196" s="507">
        <v>300</v>
      </c>
      <c r="R1196" s="549">
        <v>500000</v>
      </c>
      <c r="S1196" s="507">
        <v>300000</v>
      </c>
      <c r="T1196" s="279">
        <f t="shared" ref="T1196" si="379">R1196+S1196</f>
        <v>800000</v>
      </c>
      <c r="U1196" s="266"/>
      <c r="V1196" s="266"/>
      <c r="W1196" s="266"/>
      <c r="X1196" s="266"/>
      <c r="Y1196" s="271">
        <v>0.4</v>
      </c>
      <c r="Z1196" s="605">
        <f t="shared" ref="Z1196" si="380">T1196*Y1196</f>
        <v>320000</v>
      </c>
      <c r="AA1196" s="266"/>
      <c r="AB1196" s="605">
        <f t="shared" si="349"/>
        <v>520000</v>
      </c>
      <c r="AC1196" s="607">
        <f t="shared" si="361"/>
        <v>200000</v>
      </c>
      <c r="AD1196" s="266"/>
      <c r="AE1196" s="266"/>
    </row>
    <row r="1197" spans="1:31" s="272" customFormat="1" ht="47.25" x14ac:dyDescent="0.25">
      <c r="A1197" s="701">
        <v>1162</v>
      </c>
      <c r="B1197" s="373">
        <v>44158</v>
      </c>
      <c r="C1197" s="358" t="s">
        <v>7602</v>
      </c>
      <c r="D1197" s="358" t="s">
        <v>474</v>
      </c>
      <c r="E1197" s="358"/>
      <c r="F1197" s="335" t="s">
        <v>7603</v>
      </c>
      <c r="G1197" s="269"/>
      <c r="H1197" s="335" t="s">
        <v>1030</v>
      </c>
      <c r="I1197" s="358" t="s">
        <v>7604</v>
      </c>
      <c r="J1197" s="269"/>
      <c r="K1197" s="269"/>
      <c r="L1197" s="266"/>
      <c r="M1197" s="278"/>
      <c r="N1197" s="439"/>
      <c r="O1197" s="678" t="s">
        <v>4918</v>
      </c>
      <c r="P1197" s="678" t="s">
        <v>180</v>
      </c>
      <c r="Q1197" s="507">
        <v>300</v>
      </c>
      <c r="R1197" s="549">
        <v>500000</v>
      </c>
      <c r="S1197" s="507">
        <v>300000</v>
      </c>
      <c r="T1197" s="279">
        <f t="shared" ref="T1197" si="381">R1197+S1197</f>
        <v>800000</v>
      </c>
      <c r="U1197" s="266"/>
      <c r="V1197" s="266"/>
      <c r="W1197" s="266"/>
      <c r="X1197" s="266"/>
      <c r="Y1197" s="271">
        <v>0.4</v>
      </c>
      <c r="Z1197" s="605">
        <f t="shared" ref="Z1197" si="382">T1197*Y1197</f>
        <v>320000</v>
      </c>
      <c r="AA1197" s="266"/>
      <c r="AB1197" s="605">
        <f t="shared" si="349"/>
        <v>520000</v>
      </c>
      <c r="AC1197" s="607">
        <f t="shared" si="361"/>
        <v>200000</v>
      </c>
      <c r="AD1197" s="266"/>
      <c r="AE1197" s="266"/>
    </row>
    <row r="1198" spans="1:31" s="272" customFormat="1" ht="47.25" x14ac:dyDescent="0.25">
      <c r="A1198" s="311">
        <v>1163</v>
      </c>
      <c r="B1198" s="373">
        <v>44159</v>
      </c>
      <c r="C1198" s="358" t="s">
        <v>7605</v>
      </c>
      <c r="D1198" s="358" t="s">
        <v>3646</v>
      </c>
      <c r="E1198" s="358"/>
      <c r="F1198" s="335" t="s">
        <v>7606</v>
      </c>
      <c r="G1198" s="269"/>
      <c r="H1198" s="335" t="s">
        <v>322</v>
      </c>
      <c r="I1198" s="358" t="s">
        <v>7607</v>
      </c>
      <c r="J1198" s="269" t="s">
        <v>7608</v>
      </c>
      <c r="K1198" s="269"/>
      <c r="L1198" s="266"/>
      <c r="M1198" s="278"/>
      <c r="N1198" s="439"/>
      <c r="O1198" s="678" t="s">
        <v>4918</v>
      </c>
      <c r="P1198" s="678" t="s">
        <v>180</v>
      </c>
      <c r="Q1198" s="507">
        <v>300</v>
      </c>
      <c r="R1198" s="549">
        <v>500000</v>
      </c>
      <c r="S1198" s="507">
        <v>300000</v>
      </c>
      <c r="T1198" s="279">
        <f t="shared" ref="T1198" si="383">R1198+S1198</f>
        <v>800000</v>
      </c>
      <c r="U1198" s="266"/>
      <c r="V1198" s="266"/>
      <c r="W1198" s="266"/>
      <c r="X1198" s="266"/>
      <c r="Y1198" s="271">
        <v>0.4</v>
      </c>
      <c r="Z1198" s="605">
        <f t="shared" si="347"/>
        <v>320000</v>
      </c>
      <c r="AA1198" s="266"/>
      <c r="AB1198" s="605">
        <f t="shared" si="349"/>
        <v>520000</v>
      </c>
      <c r="AC1198" s="607">
        <f t="shared" si="361"/>
        <v>200000</v>
      </c>
      <c r="AD1198" s="266"/>
      <c r="AE1198" s="266"/>
    </row>
    <row r="1199" spans="1:31" s="272" customFormat="1" ht="63" x14ac:dyDescent="0.25">
      <c r="A1199" s="698">
        <v>1164</v>
      </c>
      <c r="B1199" s="373">
        <v>44159</v>
      </c>
      <c r="C1199" s="358" t="s">
        <v>7610</v>
      </c>
      <c r="D1199" s="358" t="s">
        <v>350</v>
      </c>
      <c r="E1199" s="358"/>
      <c r="F1199" s="335" t="s">
        <v>7609</v>
      </c>
      <c r="G1199" s="269"/>
      <c r="H1199" s="335" t="s">
        <v>3288</v>
      </c>
      <c r="I1199" s="358" t="s">
        <v>7611</v>
      </c>
      <c r="J1199" s="269"/>
      <c r="K1199" s="269"/>
      <c r="L1199" s="266"/>
      <c r="M1199" s="278"/>
      <c r="N1199" s="439"/>
      <c r="O1199" s="266" t="s">
        <v>4959</v>
      </c>
      <c r="P1199" s="266" t="s">
        <v>180</v>
      </c>
      <c r="Q1199" s="266">
        <v>2000</v>
      </c>
      <c r="R1199" s="278">
        <v>500000</v>
      </c>
      <c r="S1199" s="266">
        <v>1100000</v>
      </c>
      <c r="T1199" s="280">
        <f t="shared" si="356"/>
        <v>1600000</v>
      </c>
      <c r="U1199" s="266"/>
      <c r="V1199" s="266"/>
      <c r="W1199" s="266"/>
      <c r="X1199" s="266"/>
      <c r="Y1199" s="271">
        <v>0.4</v>
      </c>
      <c r="Z1199" s="605">
        <f t="shared" si="347"/>
        <v>640000</v>
      </c>
      <c r="AA1199" s="266"/>
      <c r="AB1199" s="605">
        <f t="shared" si="349"/>
        <v>1040000</v>
      </c>
      <c r="AC1199" s="607">
        <f t="shared" si="361"/>
        <v>400000</v>
      </c>
      <c r="AD1199" s="266"/>
      <c r="AE1199" s="266"/>
    </row>
    <row r="1200" spans="1:31" s="272" customFormat="1" ht="63" x14ac:dyDescent="0.25">
      <c r="A1200" s="701">
        <v>1165</v>
      </c>
      <c r="B1200" s="373">
        <v>44159</v>
      </c>
      <c r="C1200" s="358" t="s">
        <v>7612</v>
      </c>
      <c r="D1200" s="358" t="s">
        <v>474</v>
      </c>
      <c r="E1200" s="358"/>
      <c r="F1200" s="335" t="s">
        <v>7613</v>
      </c>
      <c r="G1200" s="269"/>
      <c r="H1200" s="335" t="s">
        <v>322</v>
      </c>
      <c r="I1200" s="358" t="s">
        <v>7614</v>
      </c>
      <c r="J1200" s="269"/>
      <c r="K1200" s="269"/>
      <c r="L1200" s="266"/>
      <c r="M1200" s="278"/>
      <c r="N1200" s="439"/>
      <c r="O1200" s="678" t="s">
        <v>4918</v>
      </c>
      <c r="P1200" s="678" t="s">
        <v>180</v>
      </c>
      <c r="Q1200" s="507">
        <v>300</v>
      </c>
      <c r="R1200" s="549">
        <v>500000</v>
      </c>
      <c r="S1200" s="507">
        <v>300000</v>
      </c>
      <c r="T1200" s="279">
        <f t="shared" si="356"/>
        <v>800000</v>
      </c>
      <c r="U1200" s="266"/>
      <c r="V1200" s="266"/>
      <c r="W1200" s="266"/>
      <c r="X1200" s="266"/>
      <c r="Y1200" s="271">
        <v>0.4</v>
      </c>
      <c r="Z1200" s="605">
        <f t="shared" ref="Z1200" si="384">T1200*Y1200</f>
        <v>320000</v>
      </c>
      <c r="AA1200" s="266"/>
      <c r="AB1200" s="605">
        <f t="shared" si="349"/>
        <v>520000</v>
      </c>
      <c r="AC1200" s="607">
        <f t="shared" si="361"/>
        <v>200000</v>
      </c>
      <c r="AD1200" s="266"/>
      <c r="AE1200" s="266"/>
    </row>
    <row r="1201" spans="1:31" ht="63" x14ac:dyDescent="0.25">
      <c r="A1201" s="700">
        <v>1166</v>
      </c>
      <c r="B1201" s="22">
        <v>44159</v>
      </c>
      <c r="C1201" s="148" t="s">
        <v>7615</v>
      </c>
      <c r="D1201" s="148" t="s">
        <v>7617</v>
      </c>
      <c r="E1201" s="148"/>
      <c r="F1201" s="101" t="s">
        <v>7618</v>
      </c>
      <c r="G1201" s="10"/>
      <c r="H1201" s="101" t="s">
        <v>246</v>
      </c>
      <c r="I1201" s="148" t="s">
        <v>7616</v>
      </c>
      <c r="J1201" s="10"/>
      <c r="K1201" s="10"/>
      <c r="L1201" s="19"/>
      <c r="M1201" s="13"/>
      <c r="N1201" s="249"/>
      <c r="O1201" s="777" t="s">
        <v>4918</v>
      </c>
      <c r="P1201" s="777" t="s">
        <v>180</v>
      </c>
      <c r="Q1201" s="356">
        <v>300</v>
      </c>
      <c r="R1201" s="350">
        <v>500000</v>
      </c>
      <c r="S1201" s="356">
        <v>300000</v>
      </c>
      <c r="T1201" s="99">
        <f t="shared" ref="T1201:T1204" si="385">R1201+S1201</f>
        <v>800000</v>
      </c>
      <c r="U1201" s="19"/>
      <c r="V1201" s="19"/>
      <c r="W1201" s="19"/>
      <c r="X1201" s="19"/>
      <c r="Y1201" s="165">
        <v>0.4</v>
      </c>
      <c r="Z1201" s="376">
        <f t="shared" ref="Z1201:Z1204" si="386">T1201*Y1201</f>
        <v>320000</v>
      </c>
      <c r="AA1201" s="19"/>
      <c r="AB1201" s="376">
        <f t="shared" si="349"/>
        <v>520000</v>
      </c>
      <c r="AC1201" s="38">
        <f t="shared" si="361"/>
        <v>200000</v>
      </c>
      <c r="AD1201" s="19"/>
      <c r="AE1201" s="19"/>
    </row>
    <row r="1202" spans="1:31" ht="47.25" x14ac:dyDescent="0.25">
      <c r="A1202" s="113">
        <v>1167</v>
      </c>
      <c r="B1202" s="22">
        <v>44160</v>
      </c>
      <c r="C1202" s="148" t="s">
        <v>1787</v>
      </c>
      <c r="D1202" s="148"/>
      <c r="E1202" s="148" t="s">
        <v>4753</v>
      </c>
      <c r="F1202" s="101" t="s">
        <v>7620</v>
      </c>
      <c r="G1202" s="10"/>
      <c r="H1202" s="101" t="s">
        <v>1790</v>
      </c>
      <c r="I1202" s="148" t="s">
        <v>7621</v>
      </c>
      <c r="J1202" s="10" t="s">
        <v>7622</v>
      </c>
      <c r="K1202" s="10"/>
      <c r="L1202" s="19"/>
      <c r="M1202" s="13"/>
      <c r="N1202" s="249"/>
      <c r="O1202" s="777" t="s">
        <v>5963</v>
      </c>
      <c r="P1202" s="777" t="s">
        <v>94</v>
      </c>
      <c r="Q1202" s="356">
        <v>1000</v>
      </c>
      <c r="R1202" s="350"/>
      <c r="S1202" s="356">
        <v>675000</v>
      </c>
      <c r="T1202" s="99">
        <f t="shared" si="385"/>
        <v>675000</v>
      </c>
      <c r="U1202" s="10"/>
      <c r="V1202" s="10"/>
      <c r="W1202" s="10"/>
      <c r="X1202" s="10"/>
      <c r="Y1202" s="98">
        <v>0.4</v>
      </c>
      <c r="Z1202" s="376">
        <f t="shared" si="386"/>
        <v>270000</v>
      </c>
      <c r="AA1202" s="19"/>
      <c r="AB1202" s="376">
        <f t="shared" si="349"/>
        <v>438750</v>
      </c>
      <c r="AC1202" s="38">
        <f t="shared" si="361"/>
        <v>168750</v>
      </c>
      <c r="AD1202" s="19" t="s">
        <v>7619</v>
      </c>
      <c r="AE1202" s="19"/>
    </row>
    <row r="1203" spans="1:31" s="272" customFormat="1" ht="47.25" x14ac:dyDescent="0.25">
      <c r="A1203" s="701">
        <v>1168</v>
      </c>
      <c r="B1203" s="373">
        <v>44160</v>
      </c>
      <c r="C1203" s="358" t="s">
        <v>7623</v>
      </c>
      <c r="D1203" s="358" t="s">
        <v>474</v>
      </c>
      <c r="E1203" s="358"/>
      <c r="F1203" s="335" t="s">
        <v>7624</v>
      </c>
      <c r="G1203" s="269"/>
      <c r="H1203" s="335" t="s">
        <v>353</v>
      </c>
      <c r="I1203" s="358" t="s">
        <v>7625</v>
      </c>
      <c r="J1203" s="269"/>
      <c r="K1203" s="269"/>
      <c r="L1203" s="266"/>
      <c r="M1203" s="278"/>
      <c r="N1203" s="439"/>
      <c r="O1203" s="678" t="s">
        <v>4918</v>
      </c>
      <c r="P1203" s="678" t="s">
        <v>180</v>
      </c>
      <c r="Q1203" s="507">
        <v>300</v>
      </c>
      <c r="R1203" s="549">
        <v>500000</v>
      </c>
      <c r="S1203" s="507">
        <v>300000</v>
      </c>
      <c r="T1203" s="279">
        <f t="shared" si="385"/>
        <v>800000</v>
      </c>
      <c r="U1203" s="266"/>
      <c r="V1203" s="266"/>
      <c r="W1203" s="266"/>
      <c r="X1203" s="266"/>
      <c r="Y1203" s="271">
        <v>0.4</v>
      </c>
      <c r="Z1203" s="605">
        <f t="shared" si="386"/>
        <v>320000</v>
      </c>
      <c r="AA1203" s="266"/>
      <c r="AB1203" s="605">
        <f t="shared" si="349"/>
        <v>520000</v>
      </c>
      <c r="AC1203" s="607">
        <f t="shared" si="361"/>
        <v>200000</v>
      </c>
      <c r="AD1203" s="266"/>
      <c r="AE1203" s="266"/>
    </row>
    <row r="1204" spans="1:31" s="272" customFormat="1" ht="47.25" x14ac:dyDescent="0.25">
      <c r="A1204" s="311">
        <v>1169</v>
      </c>
      <c r="B1204" s="373">
        <v>44161</v>
      </c>
      <c r="C1204" s="358" t="s">
        <v>7626</v>
      </c>
      <c r="D1204" s="358" t="s">
        <v>309</v>
      </c>
      <c r="E1204" s="358"/>
      <c r="F1204" s="335" t="s">
        <v>7628</v>
      </c>
      <c r="G1204" s="269"/>
      <c r="H1204" s="335" t="s">
        <v>273</v>
      </c>
      <c r="I1204" s="358" t="s">
        <v>7627</v>
      </c>
      <c r="J1204" s="269"/>
      <c r="K1204" s="269"/>
      <c r="L1204" s="266"/>
      <c r="M1204" s="278"/>
      <c r="N1204" s="439"/>
      <c r="O1204" s="678" t="s">
        <v>5963</v>
      </c>
      <c r="P1204" s="678" t="s">
        <v>180</v>
      </c>
      <c r="Q1204" s="507">
        <v>1000</v>
      </c>
      <c r="R1204" s="549">
        <v>500000</v>
      </c>
      <c r="S1204" s="507">
        <v>675000</v>
      </c>
      <c r="T1204" s="279">
        <f t="shared" si="385"/>
        <v>1175000</v>
      </c>
      <c r="U1204" s="269"/>
      <c r="V1204" s="269"/>
      <c r="W1204" s="269"/>
      <c r="X1204" s="269"/>
      <c r="Y1204" s="516">
        <v>0.4</v>
      </c>
      <c r="Z1204" s="605">
        <f t="shared" si="386"/>
        <v>470000</v>
      </c>
      <c r="AA1204" s="266"/>
      <c r="AB1204" s="605">
        <f t="shared" si="349"/>
        <v>763750</v>
      </c>
      <c r="AC1204" s="607">
        <f t="shared" si="361"/>
        <v>293750</v>
      </c>
      <c r="AD1204" s="266"/>
      <c r="AE1204" s="266"/>
    </row>
    <row r="1205" spans="1:31" x14ac:dyDescent="0.25">
      <c r="A1205" s="113">
        <v>1170</v>
      </c>
      <c r="B1205" s="19"/>
      <c r="C1205" s="148"/>
      <c r="D1205" s="148"/>
      <c r="E1205" s="148"/>
      <c r="F1205" s="101"/>
      <c r="G1205" s="10"/>
      <c r="H1205" s="101"/>
      <c r="I1205" s="148"/>
      <c r="J1205" s="10"/>
      <c r="K1205" s="10"/>
      <c r="L1205" s="19"/>
      <c r="M1205" s="13"/>
      <c r="N1205" s="249"/>
      <c r="O1205" s="19"/>
      <c r="P1205" s="19"/>
      <c r="Q1205" s="19"/>
      <c r="R1205" s="13"/>
      <c r="S1205" s="19"/>
      <c r="T1205" s="219">
        <f t="shared" si="356"/>
        <v>0</v>
      </c>
      <c r="U1205" s="19"/>
      <c r="V1205" s="19"/>
      <c r="W1205" s="19"/>
      <c r="X1205" s="19"/>
      <c r="Y1205" s="19"/>
      <c r="Z1205" s="605">
        <f t="shared" si="347"/>
        <v>0</v>
      </c>
      <c r="AA1205" s="19"/>
      <c r="AB1205" s="605">
        <f t="shared" si="349"/>
        <v>0</v>
      </c>
      <c r="AC1205" s="607">
        <f t="shared" si="361"/>
        <v>0</v>
      </c>
      <c r="AD1205" s="19"/>
      <c r="AE1205" s="19"/>
    </row>
    <row r="1206" spans="1:31" x14ac:dyDescent="0.25">
      <c r="A1206" s="699">
        <v>1171</v>
      </c>
      <c r="B1206" s="19"/>
      <c r="C1206" s="148"/>
      <c r="D1206" s="148"/>
      <c r="E1206" s="148"/>
      <c r="F1206" s="101"/>
      <c r="G1206" s="10"/>
      <c r="H1206" s="101"/>
      <c r="I1206" s="148"/>
      <c r="J1206" s="10"/>
      <c r="K1206" s="10"/>
      <c r="L1206" s="19"/>
      <c r="M1206" s="13"/>
      <c r="N1206" s="249"/>
      <c r="O1206" s="19"/>
      <c r="P1206" s="19"/>
      <c r="Q1206" s="19"/>
      <c r="R1206" s="13"/>
      <c r="S1206" s="19"/>
      <c r="T1206" s="219">
        <f t="shared" si="356"/>
        <v>0</v>
      </c>
      <c r="U1206" s="19"/>
      <c r="V1206" s="19"/>
      <c r="W1206" s="19"/>
      <c r="X1206" s="19"/>
      <c r="Y1206" s="19"/>
      <c r="Z1206" s="605">
        <f t="shared" si="347"/>
        <v>0</v>
      </c>
      <c r="AA1206" s="19"/>
      <c r="AB1206" s="605">
        <f t="shared" si="349"/>
        <v>0</v>
      </c>
      <c r="AC1206" s="607">
        <f t="shared" si="361"/>
        <v>0</v>
      </c>
      <c r="AD1206" s="19"/>
      <c r="AE1206" s="19"/>
    </row>
    <row r="1207" spans="1:31" x14ac:dyDescent="0.25">
      <c r="A1207" s="311">
        <v>1172</v>
      </c>
      <c r="B1207" s="19"/>
      <c r="C1207" s="148"/>
      <c r="D1207" s="148"/>
      <c r="E1207" s="148"/>
      <c r="F1207" s="101"/>
      <c r="G1207" s="10"/>
      <c r="H1207" s="101"/>
      <c r="I1207" s="148"/>
      <c r="J1207" s="10"/>
      <c r="K1207" s="10"/>
      <c r="L1207" s="19"/>
      <c r="M1207" s="13"/>
      <c r="N1207" s="249"/>
      <c r="O1207" s="19"/>
      <c r="P1207" s="19"/>
      <c r="Q1207" s="19"/>
      <c r="R1207" s="13"/>
      <c r="S1207" s="19"/>
      <c r="T1207" s="219">
        <f t="shared" si="356"/>
        <v>0</v>
      </c>
      <c r="U1207" s="19"/>
      <c r="V1207" s="19"/>
      <c r="W1207" s="19"/>
      <c r="X1207" s="19"/>
      <c r="Y1207" s="19"/>
      <c r="Z1207" s="605">
        <f t="shared" si="347"/>
        <v>0</v>
      </c>
      <c r="AA1207" s="19"/>
      <c r="AB1207" s="605">
        <f t="shared" si="349"/>
        <v>0</v>
      </c>
      <c r="AC1207" s="607">
        <f t="shared" si="361"/>
        <v>0</v>
      </c>
      <c r="AD1207" s="19"/>
      <c r="AE1207" s="19"/>
    </row>
    <row r="1208" spans="1:31" x14ac:dyDescent="0.25">
      <c r="A1208" s="113">
        <v>1173</v>
      </c>
      <c r="B1208" s="19"/>
      <c r="C1208" s="148"/>
      <c r="D1208" s="148"/>
      <c r="E1208" s="148"/>
      <c r="F1208" s="101"/>
      <c r="G1208" s="10"/>
      <c r="H1208" s="101"/>
      <c r="I1208" s="148"/>
      <c r="J1208" s="10"/>
      <c r="K1208" s="10"/>
      <c r="L1208" s="19"/>
      <c r="M1208" s="13"/>
      <c r="N1208" s="249"/>
      <c r="O1208" s="19"/>
      <c r="P1208" s="19"/>
      <c r="Q1208" s="19"/>
      <c r="R1208" s="13"/>
      <c r="S1208" s="19"/>
      <c r="T1208" s="219">
        <f t="shared" si="356"/>
        <v>0</v>
      </c>
      <c r="U1208" s="19"/>
      <c r="V1208" s="19"/>
      <c r="W1208" s="19"/>
      <c r="X1208" s="19"/>
      <c r="Y1208" s="19"/>
      <c r="Z1208" s="605">
        <f t="shared" si="347"/>
        <v>0</v>
      </c>
      <c r="AA1208" s="19"/>
      <c r="AB1208" s="605">
        <f t="shared" si="349"/>
        <v>0</v>
      </c>
      <c r="AC1208" s="607">
        <f t="shared" si="361"/>
        <v>0</v>
      </c>
      <c r="AD1208" s="19"/>
      <c r="AE1208" s="19"/>
    </row>
    <row r="1209" spans="1:31" x14ac:dyDescent="0.25">
      <c r="A1209" s="699">
        <v>1174</v>
      </c>
      <c r="B1209" s="19"/>
      <c r="C1209" s="148"/>
      <c r="D1209" s="148"/>
      <c r="E1209" s="148"/>
      <c r="F1209" s="101"/>
      <c r="G1209" s="10"/>
      <c r="H1209" s="101"/>
      <c r="I1209" s="148"/>
      <c r="J1209" s="10"/>
      <c r="K1209" s="10"/>
      <c r="L1209" s="19"/>
      <c r="M1209" s="13"/>
      <c r="N1209" s="249"/>
      <c r="O1209" s="19"/>
      <c r="P1209" s="19"/>
      <c r="Q1209" s="19"/>
      <c r="R1209" s="13"/>
      <c r="S1209" s="19"/>
      <c r="T1209" s="219">
        <f t="shared" si="356"/>
        <v>0</v>
      </c>
      <c r="U1209" s="19"/>
      <c r="V1209" s="19"/>
      <c r="W1209" s="19"/>
      <c r="X1209" s="19"/>
      <c r="Y1209" s="19"/>
      <c r="Z1209" s="605">
        <f t="shared" si="347"/>
        <v>0</v>
      </c>
      <c r="AA1209" s="19"/>
      <c r="AB1209" s="605">
        <f t="shared" si="349"/>
        <v>0</v>
      </c>
      <c r="AC1209" s="607">
        <f t="shared" si="361"/>
        <v>0</v>
      </c>
      <c r="AD1209" s="19"/>
      <c r="AE1209" s="19"/>
    </row>
    <row r="1210" spans="1:31" x14ac:dyDescent="0.25">
      <c r="A1210" s="311">
        <v>1175</v>
      </c>
      <c r="B1210" s="19"/>
      <c r="C1210" s="148"/>
      <c r="D1210" s="148"/>
      <c r="E1210" s="148"/>
      <c r="F1210" s="101"/>
      <c r="G1210" s="10"/>
      <c r="H1210" s="101"/>
      <c r="I1210" s="148"/>
      <c r="J1210" s="10"/>
      <c r="K1210" s="10"/>
      <c r="L1210" s="19"/>
      <c r="M1210" s="13"/>
      <c r="N1210" s="249"/>
      <c r="O1210" s="19"/>
      <c r="P1210" s="19"/>
      <c r="Q1210" s="19"/>
      <c r="R1210" s="13"/>
      <c r="S1210" s="19"/>
      <c r="T1210" s="219">
        <f t="shared" si="356"/>
        <v>0</v>
      </c>
      <c r="U1210" s="19"/>
      <c r="V1210" s="19"/>
      <c r="W1210" s="19"/>
      <c r="X1210" s="19"/>
      <c r="Y1210" s="19"/>
      <c r="Z1210" s="605">
        <f t="shared" si="347"/>
        <v>0</v>
      </c>
      <c r="AA1210" s="19"/>
      <c r="AB1210" s="605">
        <f t="shared" si="349"/>
        <v>0</v>
      </c>
      <c r="AC1210" s="607">
        <f t="shared" si="361"/>
        <v>0</v>
      </c>
      <c r="AD1210" s="19"/>
      <c r="AE1210" s="19"/>
    </row>
    <row r="1211" spans="1:31" x14ac:dyDescent="0.25">
      <c r="A1211" s="113">
        <v>1176</v>
      </c>
      <c r="B1211" s="19"/>
      <c r="C1211" s="148"/>
      <c r="D1211" s="148"/>
      <c r="E1211" s="148"/>
      <c r="F1211" s="101"/>
      <c r="G1211" s="10"/>
      <c r="H1211" s="101"/>
      <c r="I1211" s="148"/>
      <c r="J1211" s="10"/>
      <c r="K1211" s="10"/>
      <c r="L1211" s="19"/>
      <c r="M1211" s="13"/>
      <c r="N1211" s="249"/>
      <c r="O1211" s="19"/>
      <c r="P1211" s="19"/>
      <c r="Q1211" s="19"/>
      <c r="R1211" s="13"/>
      <c r="S1211" s="19"/>
      <c r="T1211" s="219">
        <f t="shared" si="356"/>
        <v>0</v>
      </c>
      <c r="U1211" s="19"/>
      <c r="V1211" s="19"/>
      <c r="W1211" s="19"/>
      <c r="X1211" s="19"/>
      <c r="Y1211" s="19"/>
      <c r="Z1211" s="605">
        <f t="shared" si="347"/>
        <v>0</v>
      </c>
      <c r="AA1211" s="19"/>
      <c r="AB1211" s="605">
        <f t="shared" si="349"/>
        <v>0</v>
      </c>
      <c r="AC1211" s="607">
        <f t="shared" si="361"/>
        <v>0</v>
      </c>
      <c r="AD1211" s="19"/>
      <c r="AE1211" s="19"/>
    </row>
    <row r="1212" spans="1:31" x14ac:dyDescent="0.25">
      <c r="A1212" s="699">
        <v>1177</v>
      </c>
      <c r="B1212" s="19"/>
      <c r="C1212" s="148"/>
      <c r="D1212" s="148"/>
      <c r="E1212" s="148"/>
      <c r="F1212" s="101"/>
      <c r="G1212" s="10"/>
      <c r="H1212" s="101"/>
      <c r="I1212" s="148"/>
      <c r="J1212" s="10"/>
      <c r="K1212" s="10"/>
      <c r="L1212" s="19"/>
      <c r="M1212" s="13"/>
      <c r="N1212" s="249"/>
      <c r="O1212" s="19"/>
      <c r="P1212" s="19"/>
      <c r="Q1212" s="19"/>
      <c r="R1212" s="13"/>
      <c r="S1212" s="19"/>
      <c r="T1212" s="219">
        <f t="shared" si="356"/>
        <v>0</v>
      </c>
      <c r="U1212" s="19"/>
      <c r="V1212" s="19"/>
      <c r="W1212" s="19"/>
      <c r="X1212" s="19"/>
      <c r="Y1212" s="19"/>
      <c r="Z1212" s="605">
        <f t="shared" si="347"/>
        <v>0</v>
      </c>
      <c r="AA1212" s="19"/>
      <c r="AB1212" s="605">
        <f t="shared" si="349"/>
        <v>0</v>
      </c>
      <c r="AC1212" s="607">
        <f t="shared" si="361"/>
        <v>0</v>
      </c>
      <c r="AD1212" s="19"/>
      <c r="AE1212" s="19"/>
    </row>
    <row r="1213" spans="1:31" x14ac:dyDescent="0.25">
      <c r="A1213" s="311">
        <v>1178</v>
      </c>
      <c r="B1213" s="19"/>
      <c r="C1213" s="148"/>
      <c r="D1213" s="148"/>
      <c r="E1213" s="148"/>
      <c r="F1213" s="101"/>
      <c r="G1213" s="10"/>
      <c r="H1213" s="101"/>
      <c r="I1213" s="148"/>
      <c r="J1213" s="10"/>
      <c r="K1213" s="10"/>
      <c r="L1213" s="19"/>
      <c r="M1213" s="13"/>
      <c r="N1213" s="249"/>
      <c r="O1213" s="19"/>
      <c r="P1213" s="19"/>
      <c r="Q1213" s="19"/>
      <c r="R1213" s="13"/>
      <c r="S1213" s="19"/>
      <c r="T1213" s="219">
        <f t="shared" si="356"/>
        <v>0</v>
      </c>
      <c r="U1213" s="19"/>
      <c r="V1213" s="19"/>
      <c r="W1213" s="19"/>
      <c r="X1213" s="19"/>
      <c r="Y1213" s="19"/>
      <c r="Z1213" s="605">
        <f t="shared" si="347"/>
        <v>0</v>
      </c>
      <c r="AA1213" s="19"/>
      <c r="AB1213" s="605">
        <f t="shared" si="349"/>
        <v>0</v>
      </c>
      <c r="AC1213" s="607">
        <f t="shared" si="361"/>
        <v>0</v>
      </c>
      <c r="AD1213" s="19"/>
      <c r="AE1213" s="19"/>
    </row>
    <row r="1214" spans="1:31" x14ac:dyDescent="0.25">
      <c r="A1214" s="113">
        <v>1179</v>
      </c>
      <c r="B1214" s="19"/>
      <c r="C1214" s="148"/>
      <c r="D1214" s="148"/>
      <c r="E1214" s="148"/>
      <c r="F1214" s="101"/>
      <c r="G1214" s="10"/>
      <c r="H1214" s="101"/>
      <c r="I1214" s="148"/>
      <c r="J1214" s="10"/>
      <c r="K1214" s="10"/>
      <c r="L1214" s="19"/>
      <c r="M1214" s="13"/>
      <c r="N1214" s="249"/>
      <c r="O1214" s="19"/>
      <c r="P1214" s="19"/>
      <c r="Q1214" s="19"/>
      <c r="R1214" s="13"/>
      <c r="S1214" s="19"/>
      <c r="T1214" s="219">
        <f t="shared" si="356"/>
        <v>0</v>
      </c>
      <c r="U1214" s="19"/>
      <c r="V1214" s="19"/>
      <c r="W1214" s="19"/>
      <c r="X1214" s="19"/>
      <c r="Y1214" s="19"/>
      <c r="Z1214" s="605">
        <f t="shared" si="347"/>
        <v>0</v>
      </c>
      <c r="AA1214" s="19"/>
      <c r="AB1214" s="605">
        <f t="shared" si="349"/>
        <v>0</v>
      </c>
      <c r="AC1214" s="607">
        <f t="shared" si="361"/>
        <v>0</v>
      </c>
      <c r="AD1214" s="19"/>
      <c r="AE1214" s="19"/>
    </row>
    <row r="1215" spans="1:31" x14ac:dyDescent="0.25">
      <c r="A1215" s="699">
        <v>1180</v>
      </c>
      <c r="B1215" s="19"/>
      <c r="C1215" s="148"/>
      <c r="D1215" s="148"/>
      <c r="E1215" s="148"/>
      <c r="F1215" s="101"/>
      <c r="G1215" s="10"/>
      <c r="H1215" s="101"/>
      <c r="I1215" s="148"/>
      <c r="J1215" s="10"/>
      <c r="K1215" s="10"/>
      <c r="L1215" s="19"/>
      <c r="M1215" s="13"/>
      <c r="N1215" s="249"/>
      <c r="O1215" s="19"/>
      <c r="P1215" s="19"/>
      <c r="Q1215" s="19"/>
      <c r="R1215" s="13"/>
      <c r="S1215" s="19"/>
      <c r="T1215" s="219">
        <f t="shared" si="356"/>
        <v>0</v>
      </c>
      <c r="U1215" s="19"/>
      <c r="V1215" s="19"/>
      <c r="W1215" s="19"/>
      <c r="X1215" s="19"/>
      <c r="Y1215" s="19"/>
      <c r="Z1215" s="605">
        <f t="shared" si="347"/>
        <v>0</v>
      </c>
      <c r="AA1215" s="19"/>
      <c r="AB1215" s="605">
        <f t="shared" si="349"/>
        <v>0</v>
      </c>
      <c r="AC1215" s="607">
        <f t="shared" si="361"/>
        <v>0</v>
      </c>
      <c r="AD1215" s="19"/>
      <c r="AE1215" s="19"/>
    </row>
    <row r="1216" spans="1:31" x14ac:dyDescent="0.25">
      <c r="A1216" s="311">
        <v>1181</v>
      </c>
      <c r="B1216" s="19"/>
      <c r="C1216" s="148"/>
      <c r="D1216" s="148"/>
      <c r="E1216" s="148"/>
      <c r="F1216" s="101"/>
      <c r="G1216" s="10"/>
      <c r="H1216" s="101"/>
      <c r="I1216" s="148"/>
      <c r="J1216" s="10"/>
      <c r="K1216" s="10"/>
      <c r="L1216" s="19"/>
      <c r="M1216" s="13"/>
      <c r="N1216" s="249"/>
      <c r="O1216" s="19"/>
      <c r="P1216" s="19"/>
      <c r="Q1216" s="19"/>
      <c r="R1216" s="13"/>
      <c r="S1216" s="19"/>
      <c r="T1216" s="219">
        <f t="shared" si="356"/>
        <v>0</v>
      </c>
      <c r="U1216" s="19"/>
      <c r="V1216" s="19"/>
      <c r="W1216" s="19"/>
      <c r="X1216" s="19"/>
      <c r="Y1216" s="19"/>
      <c r="Z1216" s="605">
        <f t="shared" si="347"/>
        <v>0</v>
      </c>
      <c r="AA1216" s="19"/>
      <c r="AB1216" s="605">
        <f t="shared" si="349"/>
        <v>0</v>
      </c>
      <c r="AC1216" s="607">
        <f t="shared" si="361"/>
        <v>0</v>
      </c>
      <c r="AD1216" s="19"/>
      <c r="AE1216" s="19"/>
    </row>
    <row r="1217" spans="1:31" x14ac:dyDescent="0.25">
      <c r="A1217" s="113">
        <v>1182</v>
      </c>
      <c r="B1217" s="19"/>
      <c r="C1217" s="148"/>
      <c r="D1217" s="148"/>
      <c r="E1217" s="148"/>
      <c r="F1217" s="101"/>
      <c r="G1217" s="10"/>
      <c r="H1217" s="101"/>
      <c r="I1217" s="148"/>
      <c r="J1217" s="10"/>
      <c r="K1217" s="10"/>
      <c r="L1217" s="19"/>
      <c r="M1217" s="13"/>
      <c r="N1217" s="249"/>
      <c r="O1217" s="19"/>
      <c r="P1217" s="19"/>
      <c r="Q1217" s="19"/>
      <c r="R1217" s="13"/>
      <c r="S1217" s="19"/>
      <c r="T1217" s="219">
        <f t="shared" si="356"/>
        <v>0</v>
      </c>
      <c r="U1217" s="19"/>
      <c r="V1217" s="19"/>
      <c r="W1217" s="19"/>
      <c r="X1217" s="19"/>
      <c r="Y1217" s="19"/>
      <c r="Z1217" s="605">
        <f t="shared" si="347"/>
        <v>0</v>
      </c>
      <c r="AA1217" s="19"/>
      <c r="AB1217" s="605">
        <f t="shared" si="349"/>
        <v>0</v>
      </c>
      <c r="AC1217" s="607">
        <f t="shared" si="361"/>
        <v>0</v>
      </c>
      <c r="AD1217" s="19"/>
      <c r="AE1217" s="19"/>
    </row>
    <row r="1218" spans="1:31" x14ac:dyDescent="0.25">
      <c r="A1218" s="699">
        <v>1183</v>
      </c>
      <c r="B1218" s="19"/>
      <c r="C1218" s="148"/>
      <c r="D1218" s="148"/>
      <c r="E1218" s="148"/>
      <c r="F1218" s="101"/>
      <c r="G1218" s="10"/>
      <c r="H1218" s="101"/>
      <c r="I1218" s="148"/>
      <c r="J1218" s="10"/>
      <c r="K1218" s="10"/>
      <c r="L1218" s="19"/>
      <c r="M1218" s="13"/>
      <c r="N1218" s="249"/>
      <c r="O1218" s="19"/>
      <c r="P1218" s="19"/>
      <c r="Q1218" s="19"/>
      <c r="R1218" s="13"/>
      <c r="S1218" s="19"/>
      <c r="T1218" s="219">
        <f t="shared" si="356"/>
        <v>0</v>
      </c>
      <c r="U1218" s="19"/>
      <c r="V1218" s="19"/>
      <c r="W1218" s="19"/>
      <c r="X1218" s="19"/>
      <c r="Y1218" s="19"/>
      <c r="Z1218" s="605">
        <f t="shared" ref="Z1218:Z1281" si="387">T1218*Y1218</f>
        <v>0</v>
      </c>
      <c r="AA1218" s="19"/>
      <c r="AB1218" s="605">
        <f t="shared" si="349"/>
        <v>0</v>
      </c>
      <c r="AC1218" s="607">
        <f t="shared" si="361"/>
        <v>0</v>
      </c>
      <c r="AD1218" s="19"/>
      <c r="AE1218" s="19"/>
    </row>
    <row r="1219" spans="1:31" x14ac:dyDescent="0.25">
      <c r="A1219" s="311">
        <v>1184</v>
      </c>
      <c r="B1219" s="19"/>
      <c r="C1219" s="148"/>
      <c r="D1219" s="148"/>
      <c r="E1219" s="148"/>
      <c r="F1219" s="101"/>
      <c r="G1219" s="10"/>
      <c r="H1219" s="101"/>
      <c r="I1219" s="148"/>
      <c r="J1219" s="10"/>
      <c r="K1219" s="10"/>
      <c r="L1219" s="19"/>
      <c r="M1219" s="13"/>
      <c r="N1219" s="249"/>
      <c r="O1219" s="19"/>
      <c r="P1219" s="19"/>
      <c r="Q1219" s="19"/>
      <c r="R1219" s="13"/>
      <c r="S1219" s="19"/>
      <c r="T1219" s="219">
        <f t="shared" si="356"/>
        <v>0</v>
      </c>
      <c r="U1219" s="19"/>
      <c r="V1219" s="19"/>
      <c r="W1219" s="19"/>
      <c r="X1219" s="19"/>
      <c r="Y1219" s="19"/>
      <c r="Z1219" s="605">
        <f t="shared" si="387"/>
        <v>0</v>
      </c>
      <c r="AA1219" s="19"/>
      <c r="AB1219" s="605">
        <f t="shared" ref="AB1219:AB1282" si="388">T1219*0.65</f>
        <v>0</v>
      </c>
      <c r="AC1219" s="607">
        <f t="shared" si="361"/>
        <v>0</v>
      </c>
      <c r="AD1219" s="19"/>
      <c r="AE1219" s="19"/>
    </row>
    <row r="1220" spans="1:31" x14ac:dyDescent="0.25">
      <c r="A1220" s="113">
        <v>1185</v>
      </c>
      <c r="B1220" s="19"/>
      <c r="C1220" s="148"/>
      <c r="D1220" s="148"/>
      <c r="E1220" s="148"/>
      <c r="F1220" s="101"/>
      <c r="G1220" s="10"/>
      <c r="H1220" s="101"/>
      <c r="I1220" s="148"/>
      <c r="J1220" s="10"/>
      <c r="K1220" s="10"/>
      <c r="L1220" s="19"/>
      <c r="M1220" s="13"/>
      <c r="N1220" s="249"/>
      <c r="O1220" s="19"/>
      <c r="P1220" s="19"/>
      <c r="Q1220" s="19"/>
      <c r="R1220" s="13"/>
      <c r="S1220" s="19"/>
      <c r="T1220" s="219">
        <f t="shared" si="356"/>
        <v>0</v>
      </c>
      <c r="U1220" s="19"/>
      <c r="V1220" s="19"/>
      <c r="W1220" s="19"/>
      <c r="X1220" s="19"/>
      <c r="Y1220" s="19"/>
      <c r="Z1220" s="605">
        <f t="shared" si="387"/>
        <v>0</v>
      </c>
      <c r="AA1220" s="19"/>
      <c r="AB1220" s="605">
        <f t="shared" si="388"/>
        <v>0</v>
      </c>
      <c r="AC1220" s="607">
        <f t="shared" si="361"/>
        <v>0</v>
      </c>
      <c r="AD1220" s="19"/>
      <c r="AE1220" s="19"/>
    </row>
    <row r="1221" spans="1:31" x14ac:dyDescent="0.25">
      <c r="A1221" s="699">
        <v>1186</v>
      </c>
      <c r="B1221" s="19"/>
      <c r="C1221" s="148"/>
      <c r="D1221" s="148"/>
      <c r="E1221" s="148"/>
      <c r="F1221" s="101"/>
      <c r="G1221" s="10"/>
      <c r="H1221" s="101"/>
      <c r="I1221" s="148"/>
      <c r="J1221" s="10"/>
      <c r="K1221" s="10"/>
      <c r="L1221" s="19"/>
      <c r="M1221" s="13"/>
      <c r="N1221" s="249"/>
      <c r="O1221" s="19"/>
      <c r="P1221" s="19"/>
      <c r="Q1221" s="19"/>
      <c r="R1221" s="13"/>
      <c r="S1221" s="19"/>
      <c r="T1221" s="219">
        <f t="shared" si="356"/>
        <v>0</v>
      </c>
      <c r="U1221" s="19"/>
      <c r="V1221" s="19"/>
      <c r="W1221" s="19"/>
      <c r="X1221" s="19"/>
      <c r="Y1221" s="19"/>
      <c r="Z1221" s="605">
        <f t="shared" si="387"/>
        <v>0</v>
      </c>
      <c r="AA1221" s="19"/>
      <c r="AB1221" s="605">
        <f t="shared" si="388"/>
        <v>0</v>
      </c>
      <c r="AC1221" s="607">
        <f t="shared" si="361"/>
        <v>0</v>
      </c>
      <c r="AD1221" s="19"/>
      <c r="AE1221" s="19"/>
    </row>
    <row r="1222" spans="1:31" x14ac:dyDescent="0.25">
      <c r="A1222" s="311">
        <v>1187</v>
      </c>
      <c r="B1222" s="19"/>
      <c r="C1222" s="148"/>
      <c r="D1222" s="148"/>
      <c r="E1222" s="148"/>
      <c r="F1222" s="101"/>
      <c r="G1222" s="10"/>
      <c r="H1222" s="101"/>
      <c r="I1222" s="148"/>
      <c r="J1222" s="10"/>
      <c r="K1222" s="10"/>
      <c r="L1222" s="19"/>
      <c r="M1222" s="13"/>
      <c r="N1222" s="249"/>
      <c r="O1222" s="19"/>
      <c r="P1222" s="19"/>
      <c r="Q1222" s="19"/>
      <c r="R1222" s="13"/>
      <c r="S1222" s="19"/>
      <c r="T1222" s="219">
        <f t="shared" si="356"/>
        <v>0</v>
      </c>
      <c r="U1222" s="19"/>
      <c r="V1222" s="19"/>
      <c r="W1222" s="19"/>
      <c r="X1222" s="19"/>
      <c r="Y1222" s="19"/>
      <c r="Z1222" s="605">
        <f t="shared" si="387"/>
        <v>0</v>
      </c>
      <c r="AA1222" s="19"/>
      <c r="AB1222" s="605">
        <f t="shared" si="388"/>
        <v>0</v>
      </c>
      <c r="AC1222" s="607">
        <f t="shared" si="361"/>
        <v>0</v>
      </c>
      <c r="AD1222" s="19"/>
      <c r="AE1222" s="19"/>
    </row>
    <row r="1223" spans="1:31" x14ac:dyDescent="0.25">
      <c r="A1223" s="113">
        <v>1188</v>
      </c>
      <c r="B1223" s="19"/>
      <c r="C1223" s="148"/>
      <c r="D1223" s="148"/>
      <c r="E1223" s="148"/>
      <c r="F1223" s="101"/>
      <c r="G1223" s="10"/>
      <c r="H1223" s="101"/>
      <c r="I1223" s="148"/>
      <c r="J1223" s="10"/>
      <c r="K1223" s="10"/>
      <c r="L1223" s="19"/>
      <c r="M1223" s="13"/>
      <c r="N1223" s="249"/>
      <c r="O1223" s="19"/>
      <c r="P1223" s="19"/>
      <c r="Q1223" s="19"/>
      <c r="R1223" s="13"/>
      <c r="S1223" s="19"/>
      <c r="T1223" s="219">
        <f t="shared" si="356"/>
        <v>0</v>
      </c>
      <c r="U1223" s="19"/>
      <c r="V1223" s="19"/>
      <c r="W1223" s="19"/>
      <c r="X1223" s="19"/>
      <c r="Y1223" s="19"/>
      <c r="Z1223" s="605">
        <f t="shared" si="387"/>
        <v>0</v>
      </c>
      <c r="AA1223" s="19"/>
      <c r="AB1223" s="605">
        <f t="shared" si="388"/>
        <v>0</v>
      </c>
      <c r="AC1223" s="607">
        <f t="shared" si="361"/>
        <v>0</v>
      </c>
      <c r="AD1223" s="19"/>
      <c r="AE1223" s="19"/>
    </row>
    <row r="1224" spans="1:31" x14ac:dyDescent="0.25">
      <c r="A1224" s="699">
        <v>1189</v>
      </c>
      <c r="B1224" s="19"/>
      <c r="C1224" s="148"/>
      <c r="D1224" s="148"/>
      <c r="E1224" s="148"/>
      <c r="F1224" s="101"/>
      <c r="G1224" s="10"/>
      <c r="H1224" s="101"/>
      <c r="I1224" s="148"/>
      <c r="J1224" s="10"/>
      <c r="K1224" s="10"/>
      <c r="L1224" s="19"/>
      <c r="M1224" s="13"/>
      <c r="N1224" s="249"/>
      <c r="O1224" s="19"/>
      <c r="P1224" s="19"/>
      <c r="Q1224" s="19"/>
      <c r="R1224" s="13"/>
      <c r="S1224" s="19"/>
      <c r="T1224" s="219">
        <f t="shared" si="356"/>
        <v>0</v>
      </c>
      <c r="U1224" s="19"/>
      <c r="V1224" s="19"/>
      <c r="W1224" s="19"/>
      <c r="X1224" s="19"/>
      <c r="Y1224" s="19"/>
      <c r="Z1224" s="605">
        <f t="shared" si="387"/>
        <v>0</v>
      </c>
      <c r="AA1224" s="19"/>
      <c r="AB1224" s="605">
        <f t="shared" si="388"/>
        <v>0</v>
      </c>
      <c r="AC1224" s="607">
        <f t="shared" si="361"/>
        <v>0</v>
      </c>
      <c r="AD1224" s="19"/>
      <c r="AE1224" s="19"/>
    </row>
    <row r="1225" spans="1:31" x14ac:dyDescent="0.25">
      <c r="A1225" s="311">
        <v>1190</v>
      </c>
      <c r="B1225" s="19"/>
      <c r="C1225" s="148"/>
      <c r="D1225" s="148"/>
      <c r="E1225" s="148"/>
      <c r="F1225" s="101"/>
      <c r="G1225" s="10"/>
      <c r="H1225" s="101"/>
      <c r="I1225" s="148"/>
      <c r="J1225" s="10"/>
      <c r="K1225" s="10"/>
      <c r="L1225" s="19"/>
      <c r="M1225" s="13"/>
      <c r="N1225" s="249"/>
      <c r="O1225" s="19"/>
      <c r="P1225" s="19"/>
      <c r="Q1225" s="19"/>
      <c r="R1225" s="13"/>
      <c r="S1225" s="19"/>
      <c r="T1225" s="219">
        <f t="shared" si="356"/>
        <v>0</v>
      </c>
      <c r="U1225" s="19"/>
      <c r="V1225" s="19"/>
      <c r="W1225" s="19"/>
      <c r="X1225" s="19"/>
      <c r="Y1225" s="19"/>
      <c r="Z1225" s="605">
        <f t="shared" si="387"/>
        <v>0</v>
      </c>
      <c r="AA1225" s="19"/>
      <c r="AB1225" s="605">
        <f t="shared" si="388"/>
        <v>0</v>
      </c>
      <c r="AC1225" s="607">
        <f t="shared" si="361"/>
        <v>0</v>
      </c>
      <c r="AD1225" s="19"/>
      <c r="AE1225" s="19"/>
    </row>
    <row r="1226" spans="1:31" x14ac:dyDescent="0.25">
      <c r="A1226" s="113">
        <v>1191</v>
      </c>
      <c r="B1226" s="19"/>
      <c r="C1226" s="148"/>
      <c r="D1226" s="148"/>
      <c r="E1226" s="148"/>
      <c r="F1226" s="101"/>
      <c r="G1226" s="10"/>
      <c r="H1226" s="101"/>
      <c r="I1226" s="148"/>
      <c r="J1226" s="10"/>
      <c r="K1226" s="10"/>
      <c r="L1226" s="19"/>
      <c r="M1226" s="13"/>
      <c r="N1226" s="249"/>
      <c r="O1226" s="19"/>
      <c r="P1226" s="19"/>
      <c r="Q1226" s="19"/>
      <c r="R1226" s="13"/>
      <c r="S1226" s="19"/>
      <c r="T1226" s="219">
        <f t="shared" si="356"/>
        <v>0</v>
      </c>
      <c r="U1226" s="19"/>
      <c r="V1226" s="19"/>
      <c r="W1226" s="19"/>
      <c r="X1226" s="19"/>
      <c r="Y1226" s="19"/>
      <c r="Z1226" s="605">
        <f t="shared" si="387"/>
        <v>0</v>
      </c>
      <c r="AA1226" s="19"/>
      <c r="AB1226" s="605">
        <f t="shared" si="388"/>
        <v>0</v>
      </c>
      <c r="AC1226" s="607">
        <f t="shared" si="361"/>
        <v>0</v>
      </c>
      <c r="AD1226" s="19"/>
      <c r="AE1226" s="19"/>
    </row>
    <row r="1227" spans="1:31" x14ac:dyDescent="0.25">
      <c r="A1227" s="699">
        <v>1192</v>
      </c>
      <c r="B1227" s="19"/>
      <c r="C1227" s="148"/>
      <c r="D1227" s="148"/>
      <c r="E1227" s="148"/>
      <c r="F1227" s="101"/>
      <c r="G1227" s="10"/>
      <c r="H1227" s="101"/>
      <c r="I1227" s="148"/>
      <c r="J1227" s="10"/>
      <c r="K1227" s="10"/>
      <c r="L1227" s="19"/>
      <c r="M1227" s="13"/>
      <c r="N1227" s="249"/>
      <c r="O1227" s="19"/>
      <c r="P1227" s="19"/>
      <c r="Q1227" s="19"/>
      <c r="R1227" s="13"/>
      <c r="S1227" s="19"/>
      <c r="T1227" s="219">
        <f t="shared" si="356"/>
        <v>0</v>
      </c>
      <c r="U1227" s="19"/>
      <c r="V1227" s="19"/>
      <c r="W1227" s="19"/>
      <c r="X1227" s="19"/>
      <c r="Y1227" s="19"/>
      <c r="Z1227" s="605">
        <f t="shared" si="387"/>
        <v>0</v>
      </c>
      <c r="AA1227" s="19"/>
      <c r="AB1227" s="605">
        <f t="shared" si="388"/>
        <v>0</v>
      </c>
      <c r="AC1227" s="607">
        <f t="shared" si="361"/>
        <v>0</v>
      </c>
      <c r="AD1227" s="19"/>
      <c r="AE1227" s="19"/>
    </row>
    <row r="1228" spans="1:31" x14ac:dyDescent="0.25">
      <c r="A1228" s="311">
        <v>1193</v>
      </c>
      <c r="B1228" s="19"/>
      <c r="C1228" s="148"/>
      <c r="D1228" s="148"/>
      <c r="E1228" s="148"/>
      <c r="F1228" s="101"/>
      <c r="G1228" s="10"/>
      <c r="H1228" s="101"/>
      <c r="I1228" s="148"/>
      <c r="J1228" s="10"/>
      <c r="K1228" s="10"/>
      <c r="L1228" s="19"/>
      <c r="M1228" s="13"/>
      <c r="N1228" s="249"/>
      <c r="O1228" s="19"/>
      <c r="P1228" s="19"/>
      <c r="Q1228" s="19"/>
      <c r="R1228" s="13"/>
      <c r="S1228" s="19"/>
      <c r="T1228" s="219">
        <f t="shared" si="356"/>
        <v>0</v>
      </c>
      <c r="U1228" s="19"/>
      <c r="V1228" s="19"/>
      <c r="W1228" s="19"/>
      <c r="X1228" s="19"/>
      <c r="Y1228" s="19"/>
      <c r="Z1228" s="605">
        <f t="shared" si="387"/>
        <v>0</v>
      </c>
      <c r="AA1228" s="19"/>
      <c r="AB1228" s="605">
        <f t="shared" si="388"/>
        <v>0</v>
      </c>
      <c r="AC1228" s="607">
        <f t="shared" si="361"/>
        <v>0</v>
      </c>
      <c r="AD1228" s="19"/>
      <c r="AE1228" s="19"/>
    </row>
    <row r="1229" spans="1:31" x14ac:dyDescent="0.25">
      <c r="A1229" s="113">
        <v>1194</v>
      </c>
      <c r="B1229" s="19"/>
      <c r="C1229" s="148"/>
      <c r="D1229" s="148"/>
      <c r="E1229" s="148"/>
      <c r="F1229" s="101"/>
      <c r="G1229" s="10"/>
      <c r="H1229" s="101"/>
      <c r="I1229" s="148"/>
      <c r="J1229" s="10"/>
      <c r="K1229" s="10"/>
      <c r="L1229" s="19"/>
      <c r="M1229" s="13"/>
      <c r="N1229" s="249"/>
      <c r="O1229" s="19"/>
      <c r="P1229" s="19"/>
      <c r="Q1229" s="19"/>
      <c r="R1229" s="13"/>
      <c r="S1229" s="19"/>
      <c r="T1229" s="219">
        <f t="shared" si="356"/>
        <v>0</v>
      </c>
      <c r="U1229" s="19"/>
      <c r="V1229" s="19"/>
      <c r="W1229" s="19"/>
      <c r="X1229" s="19"/>
      <c r="Y1229" s="19"/>
      <c r="Z1229" s="605">
        <f t="shared" si="387"/>
        <v>0</v>
      </c>
      <c r="AA1229" s="19"/>
      <c r="AB1229" s="605">
        <f t="shared" si="388"/>
        <v>0</v>
      </c>
      <c r="AC1229" s="607">
        <f t="shared" si="361"/>
        <v>0</v>
      </c>
      <c r="AD1229" s="19"/>
      <c r="AE1229" s="19"/>
    </row>
    <row r="1230" spans="1:31" x14ac:dyDescent="0.25">
      <c r="A1230" s="699">
        <v>1195</v>
      </c>
      <c r="B1230" s="19"/>
      <c r="C1230" s="148"/>
      <c r="D1230" s="148"/>
      <c r="E1230" s="148"/>
      <c r="F1230" s="101"/>
      <c r="G1230" s="10"/>
      <c r="H1230" s="101"/>
      <c r="I1230" s="148"/>
      <c r="J1230" s="10"/>
      <c r="K1230" s="10"/>
      <c r="L1230" s="19"/>
      <c r="M1230" s="13"/>
      <c r="N1230" s="249"/>
      <c r="O1230" s="19"/>
      <c r="P1230" s="19"/>
      <c r="Q1230" s="19"/>
      <c r="R1230" s="13"/>
      <c r="S1230" s="19"/>
      <c r="T1230" s="219">
        <f t="shared" si="356"/>
        <v>0</v>
      </c>
      <c r="U1230" s="19"/>
      <c r="V1230" s="19"/>
      <c r="W1230" s="19"/>
      <c r="X1230" s="19"/>
      <c r="Y1230" s="19"/>
      <c r="Z1230" s="605">
        <f t="shared" si="387"/>
        <v>0</v>
      </c>
      <c r="AA1230" s="19"/>
      <c r="AB1230" s="605">
        <f t="shared" si="388"/>
        <v>0</v>
      </c>
      <c r="AC1230" s="607">
        <f t="shared" si="361"/>
        <v>0</v>
      </c>
      <c r="AD1230" s="19"/>
      <c r="AE1230" s="19"/>
    </row>
    <row r="1231" spans="1:31" x14ac:dyDescent="0.25">
      <c r="A1231" s="311">
        <v>1196</v>
      </c>
      <c r="B1231" s="19"/>
      <c r="C1231" s="148"/>
      <c r="D1231" s="148"/>
      <c r="E1231" s="148"/>
      <c r="F1231" s="101"/>
      <c r="G1231" s="10"/>
      <c r="H1231" s="101"/>
      <c r="I1231" s="148"/>
      <c r="J1231" s="10"/>
      <c r="K1231" s="10"/>
      <c r="L1231" s="19"/>
      <c r="M1231" s="13"/>
      <c r="N1231" s="249"/>
      <c r="O1231" s="19"/>
      <c r="P1231" s="19"/>
      <c r="Q1231" s="19"/>
      <c r="R1231" s="13"/>
      <c r="S1231" s="19"/>
      <c r="T1231" s="219">
        <f t="shared" si="356"/>
        <v>0</v>
      </c>
      <c r="U1231" s="19"/>
      <c r="V1231" s="19"/>
      <c r="W1231" s="19"/>
      <c r="X1231" s="19"/>
      <c r="Y1231" s="19"/>
      <c r="Z1231" s="605">
        <f t="shared" si="387"/>
        <v>0</v>
      </c>
      <c r="AA1231" s="19"/>
      <c r="AB1231" s="605">
        <f t="shared" si="388"/>
        <v>0</v>
      </c>
      <c r="AC1231" s="607">
        <f t="shared" si="361"/>
        <v>0</v>
      </c>
      <c r="AD1231" s="19"/>
      <c r="AE1231" s="19"/>
    </row>
    <row r="1232" spans="1:31" x14ac:dyDescent="0.25">
      <c r="A1232" s="113">
        <v>1197</v>
      </c>
      <c r="B1232" s="19"/>
      <c r="C1232" s="148"/>
      <c r="D1232" s="148"/>
      <c r="E1232" s="148"/>
      <c r="F1232" s="101"/>
      <c r="G1232" s="10"/>
      <c r="H1232" s="101"/>
      <c r="I1232" s="148"/>
      <c r="J1232" s="10"/>
      <c r="K1232" s="10"/>
      <c r="L1232" s="19"/>
      <c r="M1232" s="13"/>
      <c r="N1232" s="249"/>
      <c r="O1232" s="19"/>
      <c r="P1232" s="19"/>
      <c r="Q1232" s="19"/>
      <c r="R1232" s="13"/>
      <c r="S1232" s="19"/>
      <c r="T1232" s="219">
        <f t="shared" si="356"/>
        <v>0</v>
      </c>
      <c r="U1232" s="19"/>
      <c r="V1232" s="19"/>
      <c r="W1232" s="19"/>
      <c r="X1232" s="19"/>
      <c r="Y1232" s="19"/>
      <c r="Z1232" s="605">
        <f t="shared" si="387"/>
        <v>0</v>
      </c>
      <c r="AA1232" s="19"/>
      <c r="AB1232" s="605">
        <f t="shared" si="388"/>
        <v>0</v>
      </c>
      <c r="AC1232" s="607">
        <f t="shared" si="361"/>
        <v>0</v>
      </c>
      <c r="AD1232" s="19"/>
      <c r="AE1232" s="19"/>
    </row>
    <row r="1233" spans="1:31" x14ac:dyDescent="0.25">
      <c r="A1233" s="699">
        <v>1198</v>
      </c>
      <c r="B1233" s="19"/>
      <c r="C1233" s="148"/>
      <c r="D1233" s="148"/>
      <c r="E1233" s="148"/>
      <c r="F1233" s="101"/>
      <c r="G1233" s="10"/>
      <c r="H1233" s="101"/>
      <c r="I1233" s="148"/>
      <c r="J1233" s="10"/>
      <c r="K1233" s="10"/>
      <c r="L1233" s="19"/>
      <c r="M1233" s="13"/>
      <c r="N1233" s="249"/>
      <c r="O1233" s="19"/>
      <c r="P1233" s="19"/>
      <c r="Q1233" s="19"/>
      <c r="R1233" s="13"/>
      <c r="S1233" s="19"/>
      <c r="T1233" s="219">
        <f t="shared" ref="T1233:T1296" si="389">R1233+S1233</f>
        <v>0</v>
      </c>
      <c r="U1233" s="19"/>
      <c r="V1233" s="19"/>
      <c r="W1233" s="19"/>
      <c r="X1233" s="19"/>
      <c r="Y1233" s="19"/>
      <c r="Z1233" s="605">
        <f t="shared" si="387"/>
        <v>0</v>
      </c>
      <c r="AA1233" s="19"/>
      <c r="AB1233" s="605">
        <f t="shared" si="388"/>
        <v>0</v>
      </c>
      <c r="AC1233" s="607">
        <f t="shared" si="361"/>
        <v>0</v>
      </c>
      <c r="AD1233" s="19"/>
      <c r="AE1233" s="19"/>
    </row>
    <row r="1234" spans="1:31" x14ac:dyDescent="0.25">
      <c r="A1234" s="311">
        <v>1199</v>
      </c>
      <c r="B1234" s="19"/>
      <c r="C1234" s="148"/>
      <c r="D1234" s="148"/>
      <c r="E1234" s="148"/>
      <c r="F1234" s="101"/>
      <c r="G1234" s="10"/>
      <c r="H1234" s="101"/>
      <c r="I1234" s="148"/>
      <c r="J1234" s="10"/>
      <c r="K1234" s="10"/>
      <c r="L1234" s="19"/>
      <c r="M1234" s="13"/>
      <c r="N1234" s="249"/>
      <c r="O1234" s="19"/>
      <c r="P1234" s="19"/>
      <c r="Q1234" s="19"/>
      <c r="R1234" s="13"/>
      <c r="S1234" s="19"/>
      <c r="T1234" s="219">
        <f t="shared" si="389"/>
        <v>0</v>
      </c>
      <c r="U1234" s="19"/>
      <c r="V1234" s="19"/>
      <c r="W1234" s="19"/>
      <c r="X1234" s="19"/>
      <c r="Y1234" s="19"/>
      <c r="Z1234" s="605">
        <f t="shared" si="387"/>
        <v>0</v>
      </c>
      <c r="AA1234" s="19"/>
      <c r="AB1234" s="605">
        <f t="shared" si="388"/>
        <v>0</v>
      </c>
      <c r="AC1234" s="607">
        <f t="shared" si="361"/>
        <v>0</v>
      </c>
      <c r="AD1234" s="19"/>
      <c r="AE1234" s="19"/>
    </row>
    <row r="1235" spans="1:31" x14ac:dyDescent="0.25">
      <c r="A1235" s="113">
        <v>1200</v>
      </c>
      <c r="B1235" s="19"/>
      <c r="C1235" s="148"/>
      <c r="D1235" s="148"/>
      <c r="E1235" s="148"/>
      <c r="F1235" s="101"/>
      <c r="G1235" s="10"/>
      <c r="H1235" s="101"/>
      <c r="I1235" s="148"/>
      <c r="J1235" s="10"/>
      <c r="K1235" s="10"/>
      <c r="L1235" s="19"/>
      <c r="M1235" s="13"/>
      <c r="N1235" s="249"/>
      <c r="O1235" s="19"/>
      <c r="P1235" s="19"/>
      <c r="Q1235" s="19"/>
      <c r="R1235" s="13"/>
      <c r="S1235" s="19"/>
      <c r="T1235" s="219">
        <f t="shared" si="389"/>
        <v>0</v>
      </c>
      <c r="U1235" s="19"/>
      <c r="V1235" s="19"/>
      <c r="W1235" s="19"/>
      <c r="X1235" s="19"/>
      <c r="Y1235" s="19"/>
      <c r="Z1235" s="605">
        <f t="shared" si="387"/>
        <v>0</v>
      </c>
      <c r="AA1235" s="19"/>
      <c r="AB1235" s="605">
        <f t="shared" si="388"/>
        <v>0</v>
      </c>
      <c r="AC1235" s="607">
        <f t="shared" si="361"/>
        <v>0</v>
      </c>
      <c r="AD1235" s="19"/>
      <c r="AE1235" s="19"/>
    </row>
    <row r="1236" spans="1:31" x14ac:dyDescent="0.25">
      <c r="A1236" s="699">
        <v>1201</v>
      </c>
      <c r="B1236" s="19"/>
      <c r="C1236" s="148"/>
      <c r="D1236" s="148"/>
      <c r="E1236" s="148"/>
      <c r="F1236" s="101"/>
      <c r="G1236" s="10"/>
      <c r="H1236" s="101"/>
      <c r="I1236" s="148"/>
      <c r="J1236" s="10"/>
      <c r="K1236" s="10"/>
      <c r="L1236" s="19"/>
      <c r="M1236" s="13"/>
      <c r="N1236" s="249"/>
      <c r="O1236" s="19"/>
      <c r="P1236" s="19"/>
      <c r="Q1236" s="19"/>
      <c r="R1236" s="13"/>
      <c r="S1236" s="19"/>
      <c r="T1236" s="219">
        <f t="shared" si="389"/>
        <v>0</v>
      </c>
      <c r="U1236" s="19"/>
      <c r="V1236" s="19"/>
      <c r="W1236" s="19"/>
      <c r="X1236" s="19"/>
      <c r="Y1236" s="19"/>
      <c r="Z1236" s="605">
        <f t="shared" si="387"/>
        <v>0</v>
      </c>
      <c r="AA1236" s="19"/>
      <c r="AB1236" s="605">
        <f t="shared" si="388"/>
        <v>0</v>
      </c>
      <c r="AC1236" s="607">
        <f t="shared" si="361"/>
        <v>0</v>
      </c>
      <c r="AD1236" s="19"/>
      <c r="AE1236" s="19"/>
    </row>
    <row r="1237" spans="1:31" x14ac:dyDescent="0.25">
      <c r="A1237" s="311">
        <v>1202</v>
      </c>
      <c r="B1237" s="19"/>
      <c r="C1237" s="148"/>
      <c r="D1237" s="148"/>
      <c r="E1237" s="148"/>
      <c r="F1237" s="101"/>
      <c r="G1237" s="10"/>
      <c r="H1237" s="101"/>
      <c r="I1237" s="148"/>
      <c r="J1237" s="10"/>
      <c r="K1237" s="10"/>
      <c r="L1237" s="19"/>
      <c r="M1237" s="13"/>
      <c r="N1237" s="249"/>
      <c r="O1237" s="19"/>
      <c r="P1237" s="19"/>
      <c r="Q1237" s="19"/>
      <c r="R1237" s="13"/>
      <c r="S1237" s="19"/>
      <c r="T1237" s="219">
        <f t="shared" si="389"/>
        <v>0</v>
      </c>
      <c r="U1237" s="19"/>
      <c r="V1237" s="19"/>
      <c r="W1237" s="19"/>
      <c r="X1237" s="19"/>
      <c r="Y1237" s="19"/>
      <c r="Z1237" s="605">
        <f t="shared" si="387"/>
        <v>0</v>
      </c>
      <c r="AA1237" s="19"/>
      <c r="AB1237" s="605">
        <f t="shared" si="388"/>
        <v>0</v>
      </c>
      <c r="AC1237" s="607">
        <f t="shared" si="361"/>
        <v>0</v>
      </c>
      <c r="AD1237" s="19"/>
      <c r="AE1237" s="19"/>
    </row>
    <row r="1238" spans="1:31" x14ac:dyDescent="0.25">
      <c r="A1238" s="113">
        <v>1203</v>
      </c>
      <c r="B1238" s="19"/>
      <c r="C1238" s="148"/>
      <c r="D1238" s="148"/>
      <c r="E1238" s="148"/>
      <c r="F1238" s="101"/>
      <c r="G1238" s="10"/>
      <c r="H1238" s="101"/>
      <c r="I1238" s="148"/>
      <c r="J1238" s="10"/>
      <c r="K1238" s="10"/>
      <c r="L1238" s="19"/>
      <c r="M1238" s="13"/>
      <c r="N1238" s="249"/>
      <c r="O1238" s="19"/>
      <c r="P1238" s="19"/>
      <c r="Q1238" s="19"/>
      <c r="R1238" s="13"/>
      <c r="S1238" s="19"/>
      <c r="T1238" s="219">
        <f t="shared" si="389"/>
        <v>0</v>
      </c>
      <c r="U1238" s="19"/>
      <c r="V1238" s="19"/>
      <c r="W1238" s="19"/>
      <c r="X1238" s="19"/>
      <c r="Y1238" s="19"/>
      <c r="Z1238" s="605">
        <f t="shared" si="387"/>
        <v>0</v>
      </c>
      <c r="AA1238" s="19"/>
      <c r="AB1238" s="605">
        <f t="shared" si="388"/>
        <v>0</v>
      </c>
      <c r="AC1238" s="607">
        <f t="shared" si="361"/>
        <v>0</v>
      </c>
      <c r="AD1238" s="19"/>
      <c r="AE1238" s="19"/>
    </row>
    <row r="1239" spans="1:31" x14ac:dyDescent="0.25">
      <c r="A1239" s="699">
        <v>1204</v>
      </c>
      <c r="B1239" s="19"/>
      <c r="C1239" s="148"/>
      <c r="D1239" s="148"/>
      <c r="E1239" s="148"/>
      <c r="F1239" s="101"/>
      <c r="G1239" s="10"/>
      <c r="H1239" s="101"/>
      <c r="I1239" s="148"/>
      <c r="J1239" s="10"/>
      <c r="K1239" s="10"/>
      <c r="L1239" s="19"/>
      <c r="M1239" s="13"/>
      <c r="N1239" s="249"/>
      <c r="O1239" s="19"/>
      <c r="P1239" s="19"/>
      <c r="Q1239" s="19"/>
      <c r="R1239" s="13"/>
      <c r="S1239" s="19"/>
      <c r="T1239" s="219">
        <f t="shared" si="389"/>
        <v>0</v>
      </c>
      <c r="U1239" s="19"/>
      <c r="V1239" s="19"/>
      <c r="W1239" s="19"/>
      <c r="X1239" s="19"/>
      <c r="Y1239" s="19"/>
      <c r="Z1239" s="605">
        <f t="shared" si="387"/>
        <v>0</v>
      </c>
      <c r="AA1239" s="19"/>
      <c r="AB1239" s="605">
        <f t="shared" si="388"/>
        <v>0</v>
      </c>
      <c r="AC1239" s="607">
        <f t="shared" si="361"/>
        <v>0</v>
      </c>
      <c r="AD1239" s="19"/>
      <c r="AE1239" s="19"/>
    </row>
    <row r="1240" spans="1:31" x14ac:dyDescent="0.25">
      <c r="A1240" s="311">
        <v>1205</v>
      </c>
      <c r="B1240" s="19"/>
      <c r="C1240" s="148"/>
      <c r="D1240" s="148"/>
      <c r="E1240" s="148"/>
      <c r="F1240" s="101"/>
      <c r="G1240" s="10"/>
      <c r="H1240" s="101"/>
      <c r="I1240" s="148"/>
      <c r="J1240" s="10"/>
      <c r="K1240" s="10"/>
      <c r="L1240" s="19"/>
      <c r="M1240" s="13"/>
      <c r="N1240" s="249"/>
      <c r="O1240" s="19"/>
      <c r="P1240" s="19"/>
      <c r="Q1240" s="19"/>
      <c r="R1240" s="13"/>
      <c r="S1240" s="19"/>
      <c r="T1240" s="219">
        <f t="shared" si="389"/>
        <v>0</v>
      </c>
      <c r="U1240" s="19"/>
      <c r="V1240" s="19"/>
      <c r="W1240" s="19"/>
      <c r="X1240" s="19"/>
      <c r="Y1240" s="19"/>
      <c r="Z1240" s="605">
        <f t="shared" si="387"/>
        <v>0</v>
      </c>
      <c r="AA1240" s="19"/>
      <c r="AB1240" s="605">
        <f t="shared" si="388"/>
        <v>0</v>
      </c>
      <c r="AC1240" s="607">
        <f t="shared" ref="AC1240:AC1303" si="390">AB1240-Z1240</f>
        <v>0</v>
      </c>
      <c r="AD1240" s="19"/>
      <c r="AE1240" s="19"/>
    </row>
    <row r="1241" spans="1:31" x14ac:dyDescent="0.25">
      <c r="A1241" s="113">
        <v>1206</v>
      </c>
      <c r="B1241" s="19"/>
      <c r="C1241" s="148"/>
      <c r="D1241" s="148"/>
      <c r="E1241" s="148"/>
      <c r="F1241" s="101"/>
      <c r="G1241" s="10"/>
      <c r="H1241" s="101"/>
      <c r="I1241" s="148"/>
      <c r="J1241" s="10"/>
      <c r="K1241" s="10"/>
      <c r="L1241" s="19"/>
      <c r="M1241" s="13"/>
      <c r="N1241" s="249"/>
      <c r="O1241" s="19"/>
      <c r="P1241" s="19"/>
      <c r="Q1241" s="19"/>
      <c r="R1241" s="13"/>
      <c r="S1241" s="19"/>
      <c r="T1241" s="219">
        <f t="shared" si="389"/>
        <v>0</v>
      </c>
      <c r="U1241" s="19"/>
      <c r="V1241" s="19"/>
      <c r="W1241" s="19"/>
      <c r="X1241" s="19"/>
      <c r="Y1241" s="19"/>
      <c r="Z1241" s="605">
        <f t="shared" si="387"/>
        <v>0</v>
      </c>
      <c r="AA1241" s="19"/>
      <c r="AB1241" s="605">
        <f t="shared" si="388"/>
        <v>0</v>
      </c>
      <c r="AC1241" s="607">
        <f t="shared" si="390"/>
        <v>0</v>
      </c>
      <c r="AD1241" s="19"/>
      <c r="AE1241" s="19"/>
    </row>
    <row r="1242" spans="1:31" x14ac:dyDescent="0.25">
      <c r="A1242" s="699">
        <v>1207</v>
      </c>
      <c r="B1242" s="19"/>
      <c r="C1242" s="148"/>
      <c r="D1242" s="148"/>
      <c r="E1242" s="148"/>
      <c r="F1242" s="101"/>
      <c r="G1242" s="10"/>
      <c r="H1242" s="101"/>
      <c r="I1242" s="148"/>
      <c r="J1242" s="10"/>
      <c r="K1242" s="10"/>
      <c r="L1242" s="19"/>
      <c r="M1242" s="13"/>
      <c r="N1242" s="249"/>
      <c r="O1242" s="19"/>
      <c r="P1242" s="19"/>
      <c r="Q1242" s="19"/>
      <c r="R1242" s="13"/>
      <c r="S1242" s="19"/>
      <c r="T1242" s="219">
        <f t="shared" si="389"/>
        <v>0</v>
      </c>
      <c r="U1242" s="19"/>
      <c r="V1242" s="19"/>
      <c r="W1242" s="19"/>
      <c r="X1242" s="19"/>
      <c r="Y1242" s="19"/>
      <c r="Z1242" s="605">
        <f t="shared" si="387"/>
        <v>0</v>
      </c>
      <c r="AA1242" s="19"/>
      <c r="AB1242" s="605">
        <f t="shared" si="388"/>
        <v>0</v>
      </c>
      <c r="AC1242" s="607">
        <f t="shared" si="390"/>
        <v>0</v>
      </c>
      <c r="AD1242" s="19"/>
      <c r="AE1242" s="19"/>
    </row>
    <row r="1243" spans="1:31" x14ac:dyDescent="0.25">
      <c r="A1243" s="311">
        <v>1208</v>
      </c>
      <c r="B1243" s="19"/>
      <c r="C1243" s="148"/>
      <c r="D1243" s="148"/>
      <c r="E1243" s="148"/>
      <c r="F1243" s="101"/>
      <c r="G1243" s="10"/>
      <c r="H1243" s="101"/>
      <c r="I1243" s="148"/>
      <c r="J1243" s="10"/>
      <c r="K1243" s="10"/>
      <c r="L1243" s="19"/>
      <c r="M1243" s="13"/>
      <c r="N1243" s="249"/>
      <c r="O1243" s="19"/>
      <c r="P1243" s="19"/>
      <c r="Q1243" s="19"/>
      <c r="R1243" s="13"/>
      <c r="S1243" s="19"/>
      <c r="T1243" s="219">
        <f t="shared" si="389"/>
        <v>0</v>
      </c>
      <c r="U1243" s="19"/>
      <c r="V1243" s="19"/>
      <c r="W1243" s="19"/>
      <c r="X1243" s="19"/>
      <c r="Y1243" s="19"/>
      <c r="Z1243" s="605">
        <f t="shared" si="387"/>
        <v>0</v>
      </c>
      <c r="AA1243" s="19"/>
      <c r="AB1243" s="605">
        <f t="shared" si="388"/>
        <v>0</v>
      </c>
      <c r="AC1243" s="607">
        <f t="shared" si="390"/>
        <v>0</v>
      </c>
      <c r="AD1243" s="19"/>
      <c r="AE1243" s="19"/>
    </row>
    <row r="1244" spans="1:31" x14ac:dyDescent="0.25">
      <c r="A1244" s="113">
        <v>1209</v>
      </c>
      <c r="B1244" s="19"/>
      <c r="C1244" s="148"/>
      <c r="D1244" s="148"/>
      <c r="E1244" s="148"/>
      <c r="F1244" s="101"/>
      <c r="G1244" s="10"/>
      <c r="H1244" s="101"/>
      <c r="I1244" s="148"/>
      <c r="J1244" s="10"/>
      <c r="K1244" s="10"/>
      <c r="L1244" s="19"/>
      <c r="M1244" s="13"/>
      <c r="N1244" s="249"/>
      <c r="O1244" s="19"/>
      <c r="P1244" s="19"/>
      <c r="Q1244" s="19"/>
      <c r="R1244" s="13"/>
      <c r="S1244" s="19"/>
      <c r="T1244" s="219">
        <f t="shared" si="389"/>
        <v>0</v>
      </c>
      <c r="U1244" s="19"/>
      <c r="V1244" s="19"/>
      <c r="W1244" s="19"/>
      <c r="X1244" s="19"/>
      <c r="Y1244" s="19"/>
      <c r="Z1244" s="605">
        <f t="shared" si="387"/>
        <v>0</v>
      </c>
      <c r="AA1244" s="19"/>
      <c r="AB1244" s="605">
        <f t="shared" si="388"/>
        <v>0</v>
      </c>
      <c r="AC1244" s="607">
        <f t="shared" si="390"/>
        <v>0</v>
      </c>
      <c r="AD1244" s="19"/>
      <c r="AE1244" s="19"/>
    </row>
    <row r="1245" spans="1:31" x14ac:dyDescent="0.25">
      <c r="A1245" s="699">
        <v>1210</v>
      </c>
      <c r="B1245" s="19"/>
      <c r="C1245" s="148"/>
      <c r="D1245" s="148"/>
      <c r="E1245" s="148"/>
      <c r="F1245" s="101"/>
      <c r="G1245" s="10"/>
      <c r="H1245" s="101"/>
      <c r="I1245" s="148"/>
      <c r="J1245" s="10"/>
      <c r="K1245" s="10"/>
      <c r="L1245" s="19"/>
      <c r="M1245" s="13"/>
      <c r="N1245" s="249"/>
      <c r="O1245" s="19"/>
      <c r="P1245" s="19"/>
      <c r="Q1245" s="19"/>
      <c r="R1245" s="13"/>
      <c r="S1245" s="19"/>
      <c r="T1245" s="219">
        <f t="shared" si="389"/>
        <v>0</v>
      </c>
      <c r="U1245" s="19"/>
      <c r="V1245" s="19"/>
      <c r="W1245" s="19"/>
      <c r="X1245" s="19"/>
      <c r="Y1245" s="19"/>
      <c r="Z1245" s="605">
        <f t="shared" si="387"/>
        <v>0</v>
      </c>
      <c r="AA1245" s="19"/>
      <c r="AB1245" s="605">
        <f t="shared" si="388"/>
        <v>0</v>
      </c>
      <c r="AC1245" s="607">
        <f t="shared" si="390"/>
        <v>0</v>
      </c>
      <c r="AD1245" s="19"/>
      <c r="AE1245" s="19"/>
    </row>
    <row r="1246" spans="1:31" x14ac:dyDescent="0.25">
      <c r="A1246" s="311">
        <v>1211</v>
      </c>
      <c r="B1246" s="19"/>
      <c r="C1246" s="148"/>
      <c r="D1246" s="148"/>
      <c r="E1246" s="148"/>
      <c r="F1246" s="101"/>
      <c r="G1246" s="10"/>
      <c r="H1246" s="101"/>
      <c r="I1246" s="148"/>
      <c r="J1246" s="10"/>
      <c r="K1246" s="10"/>
      <c r="L1246" s="19"/>
      <c r="M1246" s="13"/>
      <c r="N1246" s="249"/>
      <c r="O1246" s="19"/>
      <c r="P1246" s="19"/>
      <c r="Q1246" s="19"/>
      <c r="R1246" s="13"/>
      <c r="S1246" s="19"/>
      <c r="T1246" s="219">
        <f t="shared" si="389"/>
        <v>0</v>
      </c>
      <c r="U1246" s="19"/>
      <c r="V1246" s="19"/>
      <c r="W1246" s="19"/>
      <c r="X1246" s="19"/>
      <c r="Y1246" s="19"/>
      <c r="Z1246" s="605">
        <f t="shared" si="387"/>
        <v>0</v>
      </c>
      <c r="AA1246" s="19"/>
      <c r="AB1246" s="605">
        <f t="shared" si="388"/>
        <v>0</v>
      </c>
      <c r="AC1246" s="607">
        <f t="shared" si="390"/>
        <v>0</v>
      </c>
      <c r="AD1246" s="19"/>
      <c r="AE1246" s="19"/>
    </row>
    <row r="1247" spans="1:31" x14ac:dyDescent="0.25">
      <c r="A1247" s="113">
        <v>1212</v>
      </c>
      <c r="B1247" s="19"/>
      <c r="C1247" s="148"/>
      <c r="D1247" s="148"/>
      <c r="E1247" s="148"/>
      <c r="F1247" s="101"/>
      <c r="G1247" s="10"/>
      <c r="H1247" s="101"/>
      <c r="I1247" s="148"/>
      <c r="J1247" s="10"/>
      <c r="K1247" s="10"/>
      <c r="L1247" s="19"/>
      <c r="M1247" s="13"/>
      <c r="N1247" s="249"/>
      <c r="O1247" s="19"/>
      <c r="P1247" s="19"/>
      <c r="Q1247" s="19"/>
      <c r="R1247" s="13"/>
      <c r="S1247" s="19"/>
      <c r="T1247" s="219">
        <f t="shared" si="389"/>
        <v>0</v>
      </c>
      <c r="U1247" s="19"/>
      <c r="V1247" s="19"/>
      <c r="W1247" s="19"/>
      <c r="X1247" s="19"/>
      <c r="Y1247" s="19"/>
      <c r="Z1247" s="605">
        <f t="shared" si="387"/>
        <v>0</v>
      </c>
      <c r="AA1247" s="19"/>
      <c r="AB1247" s="605">
        <f t="shared" si="388"/>
        <v>0</v>
      </c>
      <c r="AC1247" s="607">
        <f t="shared" si="390"/>
        <v>0</v>
      </c>
      <c r="AD1247" s="19"/>
      <c r="AE1247" s="19"/>
    </row>
    <row r="1248" spans="1:31" x14ac:dyDescent="0.25">
      <c r="A1248" s="699">
        <v>1213</v>
      </c>
      <c r="B1248" s="19"/>
      <c r="C1248" s="148"/>
      <c r="D1248" s="148"/>
      <c r="E1248" s="148"/>
      <c r="F1248" s="101"/>
      <c r="G1248" s="10"/>
      <c r="H1248" s="101"/>
      <c r="I1248" s="148"/>
      <c r="J1248" s="10"/>
      <c r="K1248" s="10"/>
      <c r="L1248" s="19"/>
      <c r="M1248" s="13"/>
      <c r="N1248" s="249"/>
      <c r="O1248" s="19"/>
      <c r="P1248" s="19"/>
      <c r="Q1248" s="19"/>
      <c r="R1248" s="13"/>
      <c r="S1248" s="19"/>
      <c r="T1248" s="219">
        <f t="shared" si="389"/>
        <v>0</v>
      </c>
      <c r="U1248" s="19"/>
      <c r="V1248" s="19"/>
      <c r="W1248" s="19"/>
      <c r="X1248" s="19"/>
      <c r="Y1248" s="19"/>
      <c r="Z1248" s="605">
        <f t="shared" si="387"/>
        <v>0</v>
      </c>
      <c r="AA1248" s="19"/>
      <c r="AB1248" s="605">
        <f t="shared" si="388"/>
        <v>0</v>
      </c>
      <c r="AC1248" s="607">
        <f t="shared" si="390"/>
        <v>0</v>
      </c>
      <c r="AD1248" s="19"/>
      <c r="AE1248" s="19"/>
    </row>
    <row r="1249" spans="1:31" x14ac:dyDescent="0.25">
      <c r="A1249" s="311">
        <v>1214</v>
      </c>
      <c r="B1249" s="19"/>
      <c r="C1249" s="148"/>
      <c r="D1249" s="148"/>
      <c r="E1249" s="148"/>
      <c r="F1249" s="101"/>
      <c r="G1249" s="10"/>
      <c r="H1249" s="101"/>
      <c r="I1249" s="148"/>
      <c r="J1249" s="10"/>
      <c r="K1249" s="10"/>
      <c r="L1249" s="19"/>
      <c r="M1249" s="13"/>
      <c r="N1249" s="249"/>
      <c r="O1249" s="19"/>
      <c r="P1249" s="19"/>
      <c r="Q1249" s="19"/>
      <c r="R1249" s="13"/>
      <c r="S1249" s="19"/>
      <c r="T1249" s="219">
        <f t="shared" si="389"/>
        <v>0</v>
      </c>
      <c r="U1249" s="19"/>
      <c r="V1249" s="19"/>
      <c r="W1249" s="19"/>
      <c r="X1249" s="19"/>
      <c r="Y1249" s="19"/>
      <c r="Z1249" s="605">
        <f t="shared" si="387"/>
        <v>0</v>
      </c>
      <c r="AA1249" s="19"/>
      <c r="AB1249" s="605">
        <f t="shared" si="388"/>
        <v>0</v>
      </c>
      <c r="AC1249" s="607">
        <f t="shared" si="390"/>
        <v>0</v>
      </c>
      <c r="AD1249" s="19"/>
      <c r="AE1249" s="19"/>
    </row>
    <row r="1250" spans="1:31" x14ac:dyDescent="0.25">
      <c r="A1250" s="113">
        <v>1215</v>
      </c>
      <c r="B1250" s="19"/>
      <c r="C1250" s="148"/>
      <c r="D1250" s="148"/>
      <c r="E1250" s="148"/>
      <c r="F1250" s="101"/>
      <c r="G1250" s="10"/>
      <c r="H1250" s="101"/>
      <c r="I1250" s="148"/>
      <c r="J1250" s="10"/>
      <c r="K1250" s="10"/>
      <c r="L1250" s="19"/>
      <c r="M1250" s="13"/>
      <c r="N1250" s="249"/>
      <c r="O1250" s="19"/>
      <c r="P1250" s="19"/>
      <c r="Q1250" s="19"/>
      <c r="R1250" s="13"/>
      <c r="S1250" s="19"/>
      <c r="T1250" s="219">
        <f t="shared" si="389"/>
        <v>0</v>
      </c>
      <c r="U1250" s="19"/>
      <c r="V1250" s="19"/>
      <c r="W1250" s="19"/>
      <c r="X1250" s="19"/>
      <c r="Y1250" s="19"/>
      <c r="Z1250" s="605">
        <f t="shared" si="387"/>
        <v>0</v>
      </c>
      <c r="AA1250" s="19"/>
      <c r="AB1250" s="605">
        <f t="shared" si="388"/>
        <v>0</v>
      </c>
      <c r="AC1250" s="607">
        <f t="shared" si="390"/>
        <v>0</v>
      </c>
      <c r="AD1250" s="19"/>
      <c r="AE1250" s="19"/>
    </row>
    <row r="1251" spans="1:31" x14ac:dyDescent="0.25">
      <c r="A1251" s="699">
        <v>1216</v>
      </c>
      <c r="B1251" s="19"/>
      <c r="C1251" s="148"/>
      <c r="D1251" s="148"/>
      <c r="E1251" s="148"/>
      <c r="F1251" s="101"/>
      <c r="G1251" s="10"/>
      <c r="H1251" s="101"/>
      <c r="I1251" s="148"/>
      <c r="J1251" s="10"/>
      <c r="K1251" s="10"/>
      <c r="L1251" s="19"/>
      <c r="M1251" s="13"/>
      <c r="N1251" s="249"/>
      <c r="O1251" s="19"/>
      <c r="P1251" s="19"/>
      <c r="Q1251" s="19"/>
      <c r="R1251" s="13"/>
      <c r="S1251" s="19"/>
      <c r="T1251" s="219">
        <f t="shared" si="389"/>
        <v>0</v>
      </c>
      <c r="U1251" s="19"/>
      <c r="V1251" s="19"/>
      <c r="W1251" s="19"/>
      <c r="X1251" s="19"/>
      <c r="Y1251" s="19"/>
      <c r="Z1251" s="605">
        <f t="shared" si="387"/>
        <v>0</v>
      </c>
      <c r="AA1251" s="19"/>
      <c r="AB1251" s="605">
        <f t="shared" si="388"/>
        <v>0</v>
      </c>
      <c r="AC1251" s="607">
        <f t="shared" si="390"/>
        <v>0</v>
      </c>
      <c r="AD1251" s="19"/>
      <c r="AE1251" s="19"/>
    </row>
    <row r="1252" spans="1:31" x14ac:dyDescent="0.25">
      <c r="A1252" s="311">
        <v>1217</v>
      </c>
      <c r="B1252" s="19"/>
      <c r="C1252" s="148"/>
      <c r="D1252" s="148"/>
      <c r="E1252" s="148"/>
      <c r="F1252" s="101"/>
      <c r="G1252" s="10"/>
      <c r="H1252" s="101"/>
      <c r="I1252" s="148"/>
      <c r="J1252" s="10"/>
      <c r="K1252" s="10"/>
      <c r="L1252" s="19"/>
      <c r="M1252" s="13"/>
      <c r="N1252" s="249"/>
      <c r="O1252" s="19"/>
      <c r="P1252" s="19"/>
      <c r="Q1252" s="19"/>
      <c r="R1252" s="13"/>
      <c r="S1252" s="19"/>
      <c r="T1252" s="219">
        <f t="shared" si="389"/>
        <v>0</v>
      </c>
      <c r="U1252" s="19"/>
      <c r="V1252" s="19"/>
      <c r="W1252" s="19"/>
      <c r="X1252" s="19"/>
      <c r="Y1252" s="19"/>
      <c r="Z1252" s="605">
        <f t="shared" si="387"/>
        <v>0</v>
      </c>
      <c r="AA1252" s="19"/>
      <c r="AB1252" s="605">
        <f t="shared" si="388"/>
        <v>0</v>
      </c>
      <c r="AC1252" s="607">
        <f t="shared" si="390"/>
        <v>0</v>
      </c>
      <c r="AD1252" s="19"/>
      <c r="AE1252" s="19"/>
    </row>
    <row r="1253" spans="1:31" x14ac:dyDescent="0.25">
      <c r="A1253" s="113">
        <v>1218</v>
      </c>
      <c r="B1253" s="19"/>
      <c r="C1253" s="148"/>
      <c r="D1253" s="148"/>
      <c r="E1253" s="148"/>
      <c r="F1253" s="101"/>
      <c r="G1253" s="10"/>
      <c r="H1253" s="101"/>
      <c r="I1253" s="148"/>
      <c r="J1253" s="10"/>
      <c r="K1253" s="10"/>
      <c r="L1253" s="19"/>
      <c r="M1253" s="13"/>
      <c r="N1253" s="249"/>
      <c r="O1253" s="19"/>
      <c r="P1253" s="19"/>
      <c r="Q1253" s="19"/>
      <c r="R1253" s="13"/>
      <c r="S1253" s="19"/>
      <c r="T1253" s="219">
        <f t="shared" si="389"/>
        <v>0</v>
      </c>
      <c r="U1253" s="19"/>
      <c r="V1253" s="19"/>
      <c r="W1253" s="19"/>
      <c r="X1253" s="19"/>
      <c r="Y1253" s="19"/>
      <c r="Z1253" s="605">
        <f t="shared" si="387"/>
        <v>0</v>
      </c>
      <c r="AA1253" s="19"/>
      <c r="AB1253" s="605">
        <f t="shared" si="388"/>
        <v>0</v>
      </c>
      <c r="AC1253" s="607">
        <f t="shared" si="390"/>
        <v>0</v>
      </c>
      <c r="AD1253" s="19"/>
      <c r="AE1253" s="19"/>
    </row>
    <row r="1254" spans="1:31" x14ac:dyDescent="0.25">
      <c r="A1254" s="699">
        <v>1219</v>
      </c>
      <c r="B1254" s="19"/>
      <c r="C1254" s="148"/>
      <c r="D1254" s="148"/>
      <c r="E1254" s="148"/>
      <c r="F1254" s="101"/>
      <c r="G1254" s="10"/>
      <c r="H1254" s="101"/>
      <c r="I1254" s="148"/>
      <c r="J1254" s="10"/>
      <c r="K1254" s="10"/>
      <c r="L1254" s="19"/>
      <c r="M1254" s="13"/>
      <c r="N1254" s="249"/>
      <c r="O1254" s="19"/>
      <c r="P1254" s="19"/>
      <c r="Q1254" s="19"/>
      <c r="R1254" s="13"/>
      <c r="S1254" s="19"/>
      <c r="T1254" s="219">
        <f t="shared" si="389"/>
        <v>0</v>
      </c>
      <c r="U1254" s="19"/>
      <c r="V1254" s="19"/>
      <c r="W1254" s="19"/>
      <c r="X1254" s="19"/>
      <c r="Y1254" s="19"/>
      <c r="Z1254" s="605">
        <f t="shared" si="387"/>
        <v>0</v>
      </c>
      <c r="AA1254" s="19"/>
      <c r="AB1254" s="605">
        <f t="shared" si="388"/>
        <v>0</v>
      </c>
      <c r="AC1254" s="607">
        <f t="shared" si="390"/>
        <v>0</v>
      </c>
      <c r="AD1254" s="19"/>
      <c r="AE1254" s="19"/>
    </row>
    <row r="1255" spans="1:31" x14ac:dyDescent="0.25">
      <c r="A1255" s="311">
        <v>1220</v>
      </c>
      <c r="B1255" s="19"/>
      <c r="C1255" s="148"/>
      <c r="D1255" s="148"/>
      <c r="E1255" s="148"/>
      <c r="F1255" s="101"/>
      <c r="G1255" s="10"/>
      <c r="H1255" s="101"/>
      <c r="I1255" s="148"/>
      <c r="J1255" s="10"/>
      <c r="K1255" s="10"/>
      <c r="L1255" s="19"/>
      <c r="M1255" s="13"/>
      <c r="N1255" s="249"/>
      <c r="O1255" s="19"/>
      <c r="P1255" s="19"/>
      <c r="Q1255" s="19"/>
      <c r="R1255" s="13"/>
      <c r="S1255" s="19"/>
      <c r="T1255" s="219">
        <f t="shared" si="389"/>
        <v>0</v>
      </c>
      <c r="U1255" s="19"/>
      <c r="V1255" s="19"/>
      <c r="W1255" s="19"/>
      <c r="X1255" s="19"/>
      <c r="Y1255" s="19"/>
      <c r="Z1255" s="605">
        <f t="shared" si="387"/>
        <v>0</v>
      </c>
      <c r="AA1255" s="19"/>
      <c r="AB1255" s="605">
        <f t="shared" si="388"/>
        <v>0</v>
      </c>
      <c r="AC1255" s="607">
        <f t="shared" si="390"/>
        <v>0</v>
      </c>
      <c r="AD1255" s="19"/>
      <c r="AE1255" s="19"/>
    </row>
    <row r="1256" spans="1:31" x14ac:dyDescent="0.25">
      <c r="A1256" s="113">
        <v>1221</v>
      </c>
      <c r="B1256" s="19"/>
      <c r="C1256" s="148"/>
      <c r="D1256" s="148"/>
      <c r="E1256" s="148"/>
      <c r="F1256" s="101"/>
      <c r="G1256" s="10"/>
      <c r="H1256" s="101"/>
      <c r="I1256" s="148"/>
      <c r="J1256" s="10"/>
      <c r="K1256" s="10"/>
      <c r="L1256" s="19"/>
      <c r="M1256" s="13"/>
      <c r="N1256" s="249"/>
      <c r="O1256" s="19"/>
      <c r="P1256" s="19"/>
      <c r="Q1256" s="19"/>
      <c r="R1256" s="13"/>
      <c r="S1256" s="19"/>
      <c r="T1256" s="219">
        <f t="shared" si="389"/>
        <v>0</v>
      </c>
      <c r="U1256" s="19"/>
      <c r="V1256" s="19"/>
      <c r="W1256" s="19"/>
      <c r="X1256" s="19"/>
      <c r="Y1256" s="19"/>
      <c r="Z1256" s="605">
        <f t="shared" si="387"/>
        <v>0</v>
      </c>
      <c r="AA1256" s="19"/>
      <c r="AB1256" s="605">
        <f t="shared" si="388"/>
        <v>0</v>
      </c>
      <c r="AC1256" s="607">
        <f t="shared" si="390"/>
        <v>0</v>
      </c>
      <c r="AD1256" s="19"/>
      <c r="AE1256" s="19"/>
    </row>
    <row r="1257" spans="1:31" x14ac:dyDescent="0.25">
      <c r="A1257" s="699">
        <v>1222</v>
      </c>
      <c r="B1257" s="19"/>
      <c r="C1257" s="148"/>
      <c r="D1257" s="148"/>
      <c r="E1257" s="148"/>
      <c r="F1257" s="101"/>
      <c r="G1257" s="10"/>
      <c r="H1257" s="101"/>
      <c r="I1257" s="148"/>
      <c r="J1257" s="10"/>
      <c r="K1257" s="10"/>
      <c r="L1257" s="19"/>
      <c r="M1257" s="13"/>
      <c r="N1257" s="249"/>
      <c r="O1257" s="19"/>
      <c r="P1257" s="19"/>
      <c r="Q1257" s="19"/>
      <c r="R1257" s="13"/>
      <c r="S1257" s="19"/>
      <c r="T1257" s="219">
        <f t="shared" si="389"/>
        <v>0</v>
      </c>
      <c r="U1257" s="19"/>
      <c r="V1257" s="19"/>
      <c r="W1257" s="19"/>
      <c r="X1257" s="19"/>
      <c r="Y1257" s="19"/>
      <c r="Z1257" s="605">
        <f t="shared" si="387"/>
        <v>0</v>
      </c>
      <c r="AA1257" s="19"/>
      <c r="AB1257" s="605">
        <f t="shared" si="388"/>
        <v>0</v>
      </c>
      <c r="AC1257" s="607">
        <f t="shared" si="390"/>
        <v>0</v>
      </c>
      <c r="AD1257" s="19"/>
      <c r="AE1257" s="19"/>
    </row>
    <row r="1258" spans="1:31" x14ac:dyDescent="0.25">
      <c r="A1258" s="311">
        <v>1223</v>
      </c>
      <c r="B1258" s="19"/>
      <c r="C1258" s="148"/>
      <c r="D1258" s="148"/>
      <c r="E1258" s="148"/>
      <c r="F1258" s="101"/>
      <c r="G1258" s="10"/>
      <c r="H1258" s="101"/>
      <c r="I1258" s="148"/>
      <c r="J1258" s="10"/>
      <c r="K1258" s="10"/>
      <c r="L1258" s="19"/>
      <c r="M1258" s="13"/>
      <c r="N1258" s="249"/>
      <c r="O1258" s="19"/>
      <c r="P1258" s="19"/>
      <c r="Q1258" s="19"/>
      <c r="R1258" s="13"/>
      <c r="S1258" s="19"/>
      <c r="T1258" s="219">
        <f t="shared" si="389"/>
        <v>0</v>
      </c>
      <c r="U1258" s="19"/>
      <c r="V1258" s="19"/>
      <c r="W1258" s="19"/>
      <c r="X1258" s="19"/>
      <c r="Y1258" s="19"/>
      <c r="Z1258" s="605">
        <f t="shared" si="387"/>
        <v>0</v>
      </c>
      <c r="AA1258" s="19"/>
      <c r="AB1258" s="605">
        <f t="shared" si="388"/>
        <v>0</v>
      </c>
      <c r="AC1258" s="607">
        <f t="shared" si="390"/>
        <v>0</v>
      </c>
      <c r="AD1258" s="19"/>
      <c r="AE1258" s="19"/>
    </row>
    <row r="1259" spans="1:31" x14ac:dyDescent="0.25">
      <c r="A1259" s="113">
        <v>1224</v>
      </c>
      <c r="B1259" s="19"/>
      <c r="C1259" s="148"/>
      <c r="D1259" s="148"/>
      <c r="E1259" s="148"/>
      <c r="F1259" s="101"/>
      <c r="G1259" s="10"/>
      <c r="H1259" s="101"/>
      <c r="I1259" s="148"/>
      <c r="J1259" s="10"/>
      <c r="K1259" s="10"/>
      <c r="L1259" s="19"/>
      <c r="M1259" s="13"/>
      <c r="N1259" s="249"/>
      <c r="O1259" s="19"/>
      <c r="P1259" s="19"/>
      <c r="Q1259" s="19"/>
      <c r="R1259" s="13"/>
      <c r="S1259" s="19"/>
      <c r="T1259" s="219">
        <f t="shared" si="389"/>
        <v>0</v>
      </c>
      <c r="U1259" s="19"/>
      <c r="V1259" s="19"/>
      <c r="W1259" s="19"/>
      <c r="X1259" s="19"/>
      <c r="Y1259" s="19"/>
      <c r="Z1259" s="605">
        <f t="shared" si="387"/>
        <v>0</v>
      </c>
      <c r="AA1259" s="19"/>
      <c r="AB1259" s="605">
        <f t="shared" si="388"/>
        <v>0</v>
      </c>
      <c r="AC1259" s="607">
        <f t="shared" si="390"/>
        <v>0</v>
      </c>
      <c r="AD1259" s="19"/>
      <c r="AE1259" s="19"/>
    </row>
    <row r="1260" spans="1:31" x14ac:dyDescent="0.25">
      <c r="A1260" s="699">
        <v>1225</v>
      </c>
      <c r="B1260" s="19"/>
      <c r="C1260" s="148"/>
      <c r="D1260" s="148"/>
      <c r="E1260" s="148"/>
      <c r="F1260" s="101"/>
      <c r="G1260" s="10"/>
      <c r="H1260" s="101"/>
      <c r="I1260" s="148"/>
      <c r="J1260" s="10"/>
      <c r="K1260" s="10"/>
      <c r="L1260" s="19"/>
      <c r="M1260" s="13"/>
      <c r="N1260" s="249"/>
      <c r="O1260" s="19"/>
      <c r="P1260" s="19"/>
      <c r="Q1260" s="19"/>
      <c r="R1260" s="13"/>
      <c r="S1260" s="19"/>
      <c r="T1260" s="219">
        <f t="shared" si="389"/>
        <v>0</v>
      </c>
      <c r="U1260" s="19"/>
      <c r="V1260" s="19"/>
      <c r="W1260" s="19"/>
      <c r="X1260" s="19"/>
      <c r="Y1260" s="19"/>
      <c r="Z1260" s="605">
        <f t="shared" si="387"/>
        <v>0</v>
      </c>
      <c r="AA1260" s="19"/>
      <c r="AB1260" s="605">
        <f t="shared" si="388"/>
        <v>0</v>
      </c>
      <c r="AC1260" s="607">
        <f t="shared" si="390"/>
        <v>0</v>
      </c>
      <c r="AD1260" s="19"/>
      <c r="AE1260" s="19"/>
    </row>
    <row r="1261" spans="1:31" x14ac:dyDescent="0.25">
      <c r="A1261" s="311">
        <v>1226</v>
      </c>
      <c r="B1261" s="19"/>
      <c r="C1261" s="148"/>
      <c r="D1261" s="148"/>
      <c r="E1261" s="148"/>
      <c r="F1261" s="101"/>
      <c r="G1261" s="10"/>
      <c r="H1261" s="101"/>
      <c r="I1261" s="148"/>
      <c r="J1261" s="10"/>
      <c r="K1261" s="10"/>
      <c r="L1261" s="19"/>
      <c r="M1261" s="13"/>
      <c r="N1261" s="249"/>
      <c r="O1261" s="19"/>
      <c r="P1261" s="19"/>
      <c r="Q1261" s="19"/>
      <c r="R1261" s="13"/>
      <c r="S1261" s="19"/>
      <c r="T1261" s="219">
        <f t="shared" si="389"/>
        <v>0</v>
      </c>
      <c r="U1261" s="19"/>
      <c r="V1261" s="19"/>
      <c r="W1261" s="19"/>
      <c r="X1261" s="19"/>
      <c r="Y1261" s="19"/>
      <c r="Z1261" s="605">
        <f t="shared" si="387"/>
        <v>0</v>
      </c>
      <c r="AA1261" s="19"/>
      <c r="AB1261" s="605">
        <f t="shared" si="388"/>
        <v>0</v>
      </c>
      <c r="AC1261" s="607">
        <f t="shared" si="390"/>
        <v>0</v>
      </c>
      <c r="AD1261" s="19"/>
      <c r="AE1261" s="19"/>
    </row>
    <row r="1262" spans="1:31" x14ac:dyDescent="0.25">
      <c r="A1262" s="113">
        <v>1227</v>
      </c>
      <c r="B1262" s="19"/>
      <c r="C1262" s="148"/>
      <c r="D1262" s="148"/>
      <c r="E1262" s="148"/>
      <c r="F1262" s="101"/>
      <c r="G1262" s="10"/>
      <c r="H1262" s="101"/>
      <c r="I1262" s="148"/>
      <c r="J1262" s="10"/>
      <c r="K1262" s="10"/>
      <c r="L1262" s="19"/>
      <c r="M1262" s="13"/>
      <c r="N1262" s="249"/>
      <c r="O1262" s="19"/>
      <c r="P1262" s="19"/>
      <c r="Q1262" s="19"/>
      <c r="R1262" s="13"/>
      <c r="S1262" s="19"/>
      <c r="T1262" s="219">
        <f t="shared" si="389"/>
        <v>0</v>
      </c>
      <c r="U1262" s="19"/>
      <c r="V1262" s="19"/>
      <c r="W1262" s="19"/>
      <c r="X1262" s="19"/>
      <c r="Y1262" s="19"/>
      <c r="Z1262" s="605">
        <f t="shared" si="387"/>
        <v>0</v>
      </c>
      <c r="AA1262" s="19"/>
      <c r="AB1262" s="605">
        <f t="shared" si="388"/>
        <v>0</v>
      </c>
      <c r="AC1262" s="607">
        <f t="shared" si="390"/>
        <v>0</v>
      </c>
      <c r="AD1262" s="19"/>
      <c r="AE1262" s="19"/>
    </row>
    <row r="1263" spans="1:31" x14ac:dyDescent="0.25">
      <c r="A1263" s="699">
        <v>1228</v>
      </c>
      <c r="B1263" s="19"/>
      <c r="C1263" s="148"/>
      <c r="D1263" s="148"/>
      <c r="E1263" s="148"/>
      <c r="F1263" s="101"/>
      <c r="G1263" s="10"/>
      <c r="H1263" s="101"/>
      <c r="I1263" s="148"/>
      <c r="J1263" s="10"/>
      <c r="K1263" s="10"/>
      <c r="L1263" s="19"/>
      <c r="M1263" s="13"/>
      <c r="N1263" s="249"/>
      <c r="O1263" s="19"/>
      <c r="P1263" s="19"/>
      <c r="Q1263" s="19"/>
      <c r="R1263" s="13"/>
      <c r="S1263" s="19"/>
      <c r="T1263" s="219">
        <f t="shared" si="389"/>
        <v>0</v>
      </c>
      <c r="U1263" s="19"/>
      <c r="V1263" s="19"/>
      <c r="W1263" s="19"/>
      <c r="X1263" s="19"/>
      <c r="Y1263" s="19"/>
      <c r="Z1263" s="605">
        <f t="shared" si="387"/>
        <v>0</v>
      </c>
      <c r="AA1263" s="19"/>
      <c r="AB1263" s="605">
        <f t="shared" si="388"/>
        <v>0</v>
      </c>
      <c r="AC1263" s="607">
        <f t="shared" si="390"/>
        <v>0</v>
      </c>
      <c r="AD1263" s="19"/>
      <c r="AE1263" s="19"/>
    </row>
    <row r="1264" spans="1:31" x14ac:dyDescent="0.25">
      <c r="A1264" s="311">
        <v>1229</v>
      </c>
      <c r="B1264" s="19"/>
      <c r="C1264" s="148"/>
      <c r="D1264" s="148"/>
      <c r="E1264" s="148"/>
      <c r="F1264" s="101"/>
      <c r="G1264" s="10"/>
      <c r="H1264" s="101"/>
      <c r="I1264" s="148"/>
      <c r="J1264" s="10"/>
      <c r="K1264" s="10"/>
      <c r="L1264" s="19"/>
      <c r="M1264" s="13"/>
      <c r="N1264" s="249"/>
      <c r="O1264" s="19"/>
      <c r="P1264" s="19"/>
      <c r="Q1264" s="19"/>
      <c r="R1264" s="13"/>
      <c r="S1264" s="19"/>
      <c r="T1264" s="219">
        <f t="shared" si="389"/>
        <v>0</v>
      </c>
      <c r="U1264" s="19"/>
      <c r="V1264" s="19"/>
      <c r="W1264" s="19"/>
      <c r="X1264" s="19"/>
      <c r="Y1264" s="19"/>
      <c r="Z1264" s="605">
        <f t="shared" si="387"/>
        <v>0</v>
      </c>
      <c r="AA1264" s="19"/>
      <c r="AB1264" s="605">
        <f t="shared" si="388"/>
        <v>0</v>
      </c>
      <c r="AC1264" s="607">
        <f t="shared" si="390"/>
        <v>0</v>
      </c>
      <c r="AD1264" s="19"/>
      <c r="AE1264" s="19"/>
    </row>
    <row r="1265" spans="1:31" x14ac:dyDescent="0.25">
      <c r="A1265" s="113">
        <v>1230</v>
      </c>
      <c r="B1265" s="19"/>
      <c r="C1265" s="148"/>
      <c r="D1265" s="148"/>
      <c r="E1265" s="148"/>
      <c r="F1265" s="101"/>
      <c r="G1265" s="10"/>
      <c r="H1265" s="101"/>
      <c r="I1265" s="148"/>
      <c r="J1265" s="10"/>
      <c r="K1265" s="10"/>
      <c r="L1265" s="19"/>
      <c r="M1265" s="13"/>
      <c r="N1265" s="249"/>
      <c r="O1265" s="19"/>
      <c r="P1265" s="19"/>
      <c r="Q1265" s="19"/>
      <c r="R1265" s="13"/>
      <c r="S1265" s="19"/>
      <c r="T1265" s="219">
        <f t="shared" si="389"/>
        <v>0</v>
      </c>
      <c r="U1265" s="19"/>
      <c r="V1265" s="19"/>
      <c r="W1265" s="19"/>
      <c r="X1265" s="19"/>
      <c r="Y1265" s="19"/>
      <c r="Z1265" s="605">
        <f t="shared" si="387"/>
        <v>0</v>
      </c>
      <c r="AA1265" s="19"/>
      <c r="AB1265" s="605">
        <f t="shared" si="388"/>
        <v>0</v>
      </c>
      <c r="AC1265" s="607">
        <f t="shared" si="390"/>
        <v>0</v>
      </c>
      <c r="AD1265" s="19"/>
      <c r="AE1265" s="19"/>
    </row>
    <row r="1266" spans="1:31" x14ac:dyDescent="0.25">
      <c r="A1266" s="699">
        <v>1231</v>
      </c>
      <c r="B1266" s="19"/>
      <c r="C1266" s="148"/>
      <c r="D1266" s="148"/>
      <c r="E1266" s="148"/>
      <c r="F1266" s="101"/>
      <c r="G1266" s="10"/>
      <c r="H1266" s="101"/>
      <c r="I1266" s="148"/>
      <c r="J1266" s="10"/>
      <c r="K1266" s="10"/>
      <c r="L1266" s="19"/>
      <c r="M1266" s="13"/>
      <c r="N1266" s="249"/>
      <c r="O1266" s="19"/>
      <c r="P1266" s="19"/>
      <c r="Q1266" s="19"/>
      <c r="R1266" s="13"/>
      <c r="S1266" s="19"/>
      <c r="T1266" s="219">
        <f t="shared" si="389"/>
        <v>0</v>
      </c>
      <c r="U1266" s="19"/>
      <c r="V1266" s="19"/>
      <c r="W1266" s="19"/>
      <c r="X1266" s="19"/>
      <c r="Y1266" s="19"/>
      <c r="Z1266" s="605">
        <f t="shared" si="387"/>
        <v>0</v>
      </c>
      <c r="AA1266" s="19"/>
      <c r="AB1266" s="605">
        <f t="shared" si="388"/>
        <v>0</v>
      </c>
      <c r="AC1266" s="607">
        <f t="shared" si="390"/>
        <v>0</v>
      </c>
      <c r="AD1266" s="19"/>
      <c r="AE1266" s="19"/>
    </row>
    <row r="1267" spans="1:31" x14ac:dyDescent="0.25">
      <c r="A1267" s="311">
        <v>1232</v>
      </c>
      <c r="B1267" s="19"/>
      <c r="C1267" s="148"/>
      <c r="D1267" s="148"/>
      <c r="E1267" s="148"/>
      <c r="F1267" s="101"/>
      <c r="G1267" s="10"/>
      <c r="H1267" s="101"/>
      <c r="I1267" s="148"/>
      <c r="J1267" s="10"/>
      <c r="K1267" s="10"/>
      <c r="L1267" s="19"/>
      <c r="M1267" s="13"/>
      <c r="N1267" s="249"/>
      <c r="O1267" s="19"/>
      <c r="P1267" s="19"/>
      <c r="Q1267" s="19"/>
      <c r="R1267" s="13"/>
      <c r="S1267" s="19"/>
      <c r="T1267" s="219">
        <f t="shared" si="389"/>
        <v>0</v>
      </c>
      <c r="U1267" s="19"/>
      <c r="V1267" s="19"/>
      <c r="W1267" s="19"/>
      <c r="X1267" s="19"/>
      <c r="Y1267" s="19"/>
      <c r="Z1267" s="605">
        <f t="shared" si="387"/>
        <v>0</v>
      </c>
      <c r="AA1267" s="19"/>
      <c r="AB1267" s="605">
        <f t="shared" si="388"/>
        <v>0</v>
      </c>
      <c r="AC1267" s="607">
        <f t="shared" si="390"/>
        <v>0</v>
      </c>
      <c r="AD1267" s="19"/>
      <c r="AE1267" s="19"/>
    </row>
    <row r="1268" spans="1:31" x14ac:dyDescent="0.25">
      <c r="A1268" s="113">
        <v>1233</v>
      </c>
      <c r="B1268" s="19"/>
      <c r="C1268" s="148"/>
      <c r="D1268" s="148"/>
      <c r="E1268" s="148"/>
      <c r="F1268" s="101"/>
      <c r="G1268" s="10"/>
      <c r="H1268" s="101"/>
      <c r="I1268" s="148"/>
      <c r="J1268" s="10"/>
      <c r="K1268" s="10"/>
      <c r="L1268" s="19"/>
      <c r="M1268" s="13"/>
      <c r="N1268" s="249"/>
      <c r="O1268" s="19"/>
      <c r="P1268" s="19"/>
      <c r="Q1268" s="19"/>
      <c r="R1268" s="13"/>
      <c r="S1268" s="19"/>
      <c r="T1268" s="219">
        <f t="shared" si="389"/>
        <v>0</v>
      </c>
      <c r="U1268" s="19"/>
      <c r="V1268" s="19"/>
      <c r="W1268" s="19"/>
      <c r="X1268" s="19"/>
      <c r="Y1268" s="19"/>
      <c r="Z1268" s="605">
        <f t="shared" si="387"/>
        <v>0</v>
      </c>
      <c r="AA1268" s="19"/>
      <c r="AB1268" s="605">
        <f t="shared" si="388"/>
        <v>0</v>
      </c>
      <c r="AC1268" s="607">
        <f t="shared" si="390"/>
        <v>0</v>
      </c>
      <c r="AD1268" s="19"/>
      <c r="AE1268" s="19"/>
    </row>
    <row r="1269" spans="1:31" x14ac:dyDescent="0.25">
      <c r="A1269" s="699">
        <v>1234</v>
      </c>
      <c r="B1269" s="19"/>
      <c r="C1269" s="148"/>
      <c r="D1269" s="148"/>
      <c r="E1269" s="148"/>
      <c r="F1269" s="101"/>
      <c r="G1269" s="10"/>
      <c r="H1269" s="101"/>
      <c r="I1269" s="148"/>
      <c r="J1269" s="10"/>
      <c r="K1269" s="10"/>
      <c r="L1269" s="19"/>
      <c r="M1269" s="13"/>
      <c r="N1269" s="249"/>
      <c r="O1269" s="19"/>
      <c r="P1269" s="19"/>
      <c r="Q1269" s="19"/>
      <c r="R1269" s="13"/>
      <c r="S1269" s="19"/>
      <c r="T1269" s="219">
        <f t="shared" si="389"/>
        <v>0</v>
      </c>
      <c r="U1269" s="19"/>
      <c r="V1269" s="19"/>
      <c r="W1269" s="19"/>
      <c r="X1269" s="19"/>
      <c r="Y1269" s="19"/>
      <c r="Z1269" s="605">
        <f t="shared" si="387"/>
        <v>0</v>
      </c>
      <c r="AA1269" s="19"/>
      <c r="AB1269" s="605">
        <f t="shared" si="388"/>
        <v>0</v>
      </c>
      <c r="AC1269" s="607">
        <f t="shared" si="390"/>
        <v>0</v>
      </c>
      <c r="AD1269" s="19"/>
      <c r="AE1269" s="19"/>
    </row>
    <row r="1270" spans="1:31" x14ac:dyDescent="0.25">
      <c r="A1270" s="311">
        <v>1235</v>
      </c>
      <c r="B1270" s="19"/>
      <c r="C1270" s="148"/>
      <c r="D1270" s="148"/>
      <c r="E1270" s="148"/>
      <c r="F1270" s="101"/>
      <c r="G1270" s="10"/>
      <c r="H1270" s="101"/>
      <c r="I1270" s="148"/>
      <c r="J1270" s="10"/>
      <c r="K1270" s="10"/>
      <c r="L1270" s="19"/>
      <c r="M1270" s="13"/>
      <c r="N1270" s="249"/>
      <c r="O1270" s="19"/>
      <c r="P1270" s="19"/>
      <c r="Q1270" s="19"/>
      <c r="R1270" s="13"/>
      <c r="S1270" s="19"/>
      <c r="T1270" s="219">
        <f t="shared" si="389"/>
        <v>0</v>
      </c>
      <c r="U1270" s="19"/>
      <c r="V1270" s="19"/>
      <c r="W1270" s="19"/>
      <c r="X1270" s="19"/>
      <c r="Y1270" s="19"/>
      <c r="Z1270" s="605">
        <f t="shared" si="387"/>
        <v>0</v>
      </c>
      <c r="AA1270" s="19"/>
      <c r="AB1270" s="605">
        <f t="shared" si="388"/>
        <v>0</v>
      </c>
      <c r="AC1270" s="607">
        <f t="shared" si="390"/>
        <v>0</v>
      </c>
      <c r="AD1270" s="19"/>
      <c r="AE1270" s="19"/>
    </row>
    <row r="1271" spans="1:31" x14ac:dyDescent="0.25">
      <c r="A1271" s="113">
        <v>1236</v>
      </c>
      <c r="B1271" s="19"/>
      <c r="C1271" s="148"/>
      <c r="D1271" s="148"/>
      <c r="E1271" s="148"/>
      <c r="F1271" s="101"/>
      <c r="G1271" s="10"/>
      <c r="H1271" s="101"/>
      <c r="I1271" s="148"/>
      <c r="J1271" s="10"/>
      <c r="K1271" s="10"/>
      <c r="L1271" s="19"/>
      <c r="M1271" s="13"/>
      <c r="N1271" s="249"/>
      <c r="O1271" s="19"/>
      <c r="P1271" s="19"/>
      <c r="Q1271" s="19"/>
      <c r="R1271" s="13"/>
      <c r="S1271" s="19"/>
      <c r="T1271" s="219">
        <f t="shared" si="389"/>
        <v>0</v>
      </c>
      <c r="U1271" s="19"/>
      <c r="V1271" s="19"/>
      <c r="W1271" s="19"/>
      <c r="X1271" s="19"/>
      <c r="Y1271" s="19"/>
      <c r="Z1271" s="605">
        <f t="shared" si="387"/>
        <v>0</v>
      </c>
      <c r="AA1271" s="19"/>
      <c r="AB1271" s="605">
        <f t="shared" si="388"/>
        <v>0</v>
      </c>
      <c r="AC1271" s="607">
        <f t="shared" si="390"/>
        <v>0</v>
      </c>
      <c r="AD1271" s="19"/>
      <c r="AE1271" s="19"/>
    </row>
    <row r="1272" spans="1:31" x14ac:dyDescent="0.25">
      <c r="A1272" s="699">
        <v>1237</v>
      </c>
      <c r="B1272" s="19"/>
      <c r="C1272" s="148"/>
      <c r="D1272" s="148"/>
      <c r="E1272" s="148"/>
      <c r="F1272" s="101"/>
      <c r="G1272" s="10"/>
      <c r="H1272" s="101"/>
      <c r="I1272" s="148"/>
      <c r="J1272" s="10"/>
      <c r="K1272" s="10"/>
      <c r="L1272" s="19"/>
      <c r="M1272" s="13"/>
      <c r="N1272" s="249"/>
      <c r="O1272" s="19"/>
      <c r="P1272" s="19"/>
      <c r="Q1272" s="19"/>
      <c r="R1272" s="13"/>
      <c r="S1272" s="19"/>
      <c r="T1272" s="219">
        <f t="shared" si="389"/>
        <v>0</v>
      </c>
      <c r="U1272" s="19"/>
      <c r="V1272" s="19"/>
      <c r="W1272" s="19"/>
      <c r="X1272" s="19"/>
      <c r="Y1272" s="19"/>
      <c r="Z1272" s="605">
        <f t="shared" si="387"/>
        <v>0</v>
      </c>
      <c r="AA1272" s="19"/>
      <c r="AB1272" s="605">
        <f t="shared" si="388"/>
        <v>0</v>
      </c>
      <c r="AC1272" s="607">
        <f t="shared" si="390"/>
        <v>0</v>
      </c>
      <c r="AD1272" s="19"/>
      <c r="AE1272" s="19"/>
    </row>
    <row r="1273" spans="1:31" x14ac:dyDescent="0.25">
      <c r="A1273" s="311">
        <v>1238</v>
      </c>
      <c r="B1273" s="19"/>
      <c r="C1273" s="148"/>
      <c r="D1273" s="148"/>
      <c r="E1273" s="148"/>
      <c r="F1273" s="101"/>
      <c r="G1273" s="10"/>
      <c r="H1273" s="101"/>
      <c r="I1273" s="148"/>
      <c r="J1273" s="10"/>
      <c r="K1273" s="10"/>
      <c r="L1273" s="19"/>
      <c r="M1273" s="13"/>
      <c r="N1273" s="249"/>
      <c r="O1273" s="19"/>
      <c r="P1273" s="19"/>
      <c r="Q1273" s="19"/>
      <c r="R1273" s="13"/>
      <c r="S1273" s="19"/>
      <c r="T1273" s="219">
        <f t="shared" si="389"/>
        <v>0</v>
      </c>
      <c r="U1273" s="19"/>
      <c r="V1273" s="19"/>
      <c r="W1273" s="19"/>
      <c r="X1273" s="19"/>
      <c r="Y1273" s="19"/>
      <c r="Z1273" s="605">
        <f t="shared" si="387"/>
        <v>0</v>
      </c>
      <c r="AA1273" s="19"/>
      <c r="AB1273" s="605">
        <f t="shared" si="388"/>
        <v>0</v>
      </c>
      <c r="AC1273" s="607">
        <f t="shared" si="390"/>
        <v>0</v>
      </c>
      <c r="AD1273" s="19"/>
      <c r="AE1273" s="19"/>
    </row>
    <row r="1274" spans="1:31" x14ac:dyDescent="0.25">
      <c r="A1274" s="113">
        <v>1239</v>
      </c>
      <c r="B1274" s="19"/>
      <c r="C1274" s="148"/>
      <c r="D1274" s="148"/>
      <c r="E1274" s="148"/>
      <c r="F1274" s="101"/>
      <c r="G1274" s="10"/>
      <c r="H1274" s="101"/>
      <c r="I1274" s="148"/>
      <c r="J1274" s="10"/>
      <c r="K1274" s="10"/>
      <c r="L1274" s="19"/>
      <c r="M1274" s="13"/>
      <c r="N1274" s="249"/>
      <c r="O1274" s="19"/>
      <c r="P1274" s="19"/>
      <c r="Q1274" s="19"/>
      <c r="R1274" s="13"/>
      <c r="S1274" s="19"/>
      <c r="T1274" s="219">
        <f t="shared" si="389"/>
        <v>0</v>
      </c>
      <c r="U1274" s="19"/>
      <c r="V1274" s="19"/>
      <c r="W1274" s="19"/>
      <c r="X1274" s="19"/>
      <c r="Y1274" s="19"/>
      <c r="Z1274" s="605">
        <f t="shared" si="387"/>
        <v>0</v>
      </c>
      <c r="AA1274" s="19"/>
      <c r="AB1274" s="605">
        <f t="shared" si="388"/>
        <v>0</v>
      </c>
      <c r="AC1274" s="607">
        <f t="shared" si="390"/>
        <v>0</v>
      </c>
      <c r="AD1274" s="19"/>
      <c r="AE1274" s="19"/>
    </row>
    <row r="1275" spans="1:31" x14ac:dyDescent="0.25">
      <c r="A1275" s="699">
        <v>1240</v>
      </c>
      <c r="B1275" s="19"/>
      <c r="C1275" s="148"/>
      <c r="D1275" s="148"/>
      <c r="E1275" s="148"/>
      <c r="F1275" s="101"/>
      <c r="G1275" s="10"/>
      <c r="H1275" s="101"/>
      <c r="I1275" s="148"/>
      <c r="J1275" s="10"/>
      <c r="K1275" s="10"/>
      <c r="L1275" s="19"/>
      <c r="M1275" s="13"/>
      <c r="N1275" s="249"/>
      <c r="O1275" s="19"/>
      <c r="P1275" s="19"/>
      <c r="Q1275" s="19"/>
      <c r="R1275" s="13"/>
      <c r="S1275" s="19"/>
      <c r="T1275" s="219">
        <f t="shared" si="389"/>
        <v>0</v>
      </c>
      <c r="U1275" s="19"/>
      <c r="V1275" s="19"/>
      <c r="W1275" s="19"/>
      <c r="X1275" s="19"/>
      <c r="Y1275" s="19"/>
      <c r="Z1275" s="605">
        <f t="shared" si="387"/>
        <v>0</v>
      </c>
      <c r="AA1275" s="19"/>
      <c r="AB1275" s="605">
        <f t="shared" si="388"/>
        <v>0</v>
      </c>
      <c r="AC1275" s="607">
        <f t="shared" si="390"/>
        <v>0</v>
      </c>
      <c r="AD1275" s="19"/>
      <c r="AE1275" s="19"/>
    </row>
    <row r="1276" spans="1:31" x14ac:dyDescent="0.25">
      <c r="A1276" s="311">
        <v>1241</v>
      </c>
      <c r="B1276" s="19"/>
      <c r="C1276" s="148"/>
      <c r="D1276" s="148"/>
      <c r="E1276" s="148"/>
      <c r="F1276" s="101"/>
      <c r="G1276" s="10"/>
      <c r="H1276" s="101"/>
      <c r="I1276" s="148"/>
      <c r="J1276" s="10"/>
      <c r="K1276" s="10"/>
      <c r="L1276" s="19"/>
      <c r="M1276" s="13"/>
      <c r="N1276" s="249"/>
      <c r="O1276" s="19"/>
      <c r="P1276" s="19"/>
      <c r="Q1276" s="19"/>
      <c r="R1276" s="13"/>
      <c r="S1276" s="19"/>
      <c r="T1276" s="219">
        <f t="shared" si="389"/>
        <v>0</v>
      </c>
      <c r="U1276" s="19"/>
      <c r="V1276" s="19"/>
      <c r="W1276" s="19"/>
      <c r="X1276" s="19"/>
      <c r="Y1276" s="19"/>
      <c r="Z1276" s="605">
        <f t="shared" si="387"/>
        <v>0</v>
      </c>
      <c r="AA1276" s="19"/>
      <c r="AB1276" s="605">
        <f t="shared" si="388"/>
        <v>0</v>
      </c>
      <c r="AC1276" s="607">
        <f t="shared" si="390"/>
        <v>0</v>
      </c>
      <c r="AD1276" s="19"/>
      <c r="AE1276" s="19"/>
    </row>
    <row r="1277" spans="1:31" x14ac:dyDescent="0.25">
      <c r="A1277" s="113">
        <v>1242</v>
      </c>
      <c r="B1277" s="19"/>
      <c r="C1277" s="148"/>
      <c r="D1277" s="148"/>
      <c r="E1277" s="148"/>
      <c r="F1277" s="101"/>
      <c r="G1277" s="10"/>
      <c r="H1277" s="101"/>
      <c r="I1277" s="148"/>
      <c r="J1277" s="10"/>
      <c r="K1277" s="10"/>
      <c r="L1277" s="19"/>
      <c r="M1277" s="13"/>
      <c r="N1277" s="249"/>
      <c r="O1277" s="19"/>
      <c r="P1277" s="19"/>
      <c r="Q1277" s="19"/>
      <c r="R1277" s="13"/>
      <c r="S1277" s="19"/>
      <c r="T1277" s="219">
        <f t="shared" si="389"/>
        <v>0</v>
      </c>
      <c r="U1277" s="19"/>
      <c r="V1277" s="19"/>
      <c r="W1277" s="19"/>
      <c r="X1277" s="19"/>
      <c r="Y1277" s="19"/>
      <c r="Z1277" s="605">
        <f t="shared" si="387"/>
        <v>0</v>
      </c>
      <c r="AA1277" s="19"/>
      <c r="AB1277" s="605">
        <f t="shared" si="388"/>
        <v>0</v>
      </c>
      <c r="AC1277" s="607">
        <f t="shared" si="390"/>
        <v>0</v>
      </c>
      <c r="AD1277" s="19"/>
      <c r="AE1277" s="19"/>
    </row>
    <row r="1278" spans="1:31" x14ac:dyDescent="0.25">
      <c r="A1278" s="699">
        <v>1243</v>
      </c>
      <c r="B1278" s="19"/>
      <c r="C1278" s="148"/>
      <c r="D1278" s="148"/>
      <c r="E1278" s="148"/>
      <c r="F1278" s="101"/>
      <c r="G1278" s="10"/>
      <c r="H1278" s="101"/>
      <c r="I1278" s="148"/>
      <c r="J1278" s="10"/>
      <c r="K1278" s="10"/>
      <c r="L1278" s="19"/>
      <c r="M1278" s="13"/>
      <c r="N1278" s="249"/>
      <c r="O1278" s="19"/>
      <c r="P1278" s="19"/>
      <c r="Q1278" s="19"/>
      <c r="R1278" s="13"/>
      <c r="S1278" s="19"/>
      <c r="T1278" s="219">
        <f t="shared" si="389"/>
        <v>0</v>
      </c>
      <c r="U1278" s="19"/>
      <c r="V1278" s="19"/>
      <c r="W1278" s="19"/>
      <c r="X1278" s="19"/>
      <c r="Y1278" s="19"/>
      <c r="Z1278" s="605">
        <f t="shared" si="387"/>
        <v>0</v>
      </c>
      <c r="AA1278" s="19"/>
      <c r="AB1278" s="605">
        <f t="shared" si="388"/>
        <v>0</v>
      </c>
      <c r="AC1278" s="607">
        <f t="shared" si="390"/>
        <v>0</v>
      </c>
      <c r="AD1278" s="19"/>
      <c r="AE1278" s="19"/>
    </row>
    <row r="1279" spans="1:31" x14ac:dyDescent="0.25">
      <c r="A1279" s="311">
        <v>1244</v>
      </c>
      <c r="B1279" s="19"/>
      <c r="C1279" s="148"/>
      <c r="D1279" s="148"/>
      <c r="E1279" s="148"/>
      <c r="F1279" s="101"/>
      <c r="G1279" s="10"/>
      <c r="H1279" s="101"/>
      <c r="I1279" s="148"/>
      <c r="J1279" s="10"/>
      <c r="K1279" s="10"/>
      <c r="L1279" s="19"/>
      <c r="M1279" s="13"/>
      <c r="N1279" s="249"/>
      <c r="O1279" s="19"/>
      <c r="P1279" s="19"/>
      <c r="Q1279" s="19"/>
      <c r="R1279" s="13"/>
      <c r="S1279" s="19"/>
      <c r="T1279" s="219">
        <f t="shared" si="389"/>
        <v>0</v>
      </c>
      <c r="U1279" s="19"/>
      <c r="V1279" s="19"/>
      <c r="W1279" s="19"/>
      <c r="X1279" s="19"/>
      <c r="Y1279" s="19"/>
      <c r="Z1279" s="605">
        <f t="shared" si="387"/>
        <v>0</v>
      </c>
      <c r="AA1279" s="19"/>
      <c r="AB1279" s="605">
        <f t="shared" si="388"/>
        <v>0</v>
      </c>
      <c r="AC1279" s="607">
        <f t="shared" si="390"/>
        <v>0</v>
      </c>
      <c r="AD1279" s="19"/>
      <c r="AE1279" s="19"/>
    </row>
    <row r="1280" spans="1:31" x14ac:dyDescent="0.25">
      <c r="A1280" s="113">
        <v>1245</v>
      </c>
      <c r="B1280" s="19"/>
      <c r="C1280" s="148"/>
      <c r="D1280" s="148"/>
      <c r="E1280" s="148"/>
      <c r="F1280" s="101"/>
      <c r="G1280" s="10"/>
      <c r="H1280" s="101"/>
      <c r="I1280" s="148"/>
      <c r="J1280" s="10"/>
      <c r="K1280" s="10"/>
      <c r="L1280" s="19"/>
      <c r="M1280" s="13"/>
      <c r="N1280" s="249"/>
      <c r="O1280" s="19"/>
      <c r="P1280" s="19"/>
      <c r="Q1280" s="19"/>
      <c r="R1280" s="13"/>
      <c r="S1280" s="19"/>
      <c r="T1280" s="219">
        <f t="shared" si="389"/>
        <v>0</v>
      </c>
      <c r="U1280" s="19"/>
      <c r="V1280" s="19"/>
      <c r="W1280" s="19"/>
      <c r="X1280" s="19"/>
      <c r="Y1280" s="19"/>
      <c r="Z1280" s="605">
        <f t="shared" si="387"/>
        <v>0</v>
      </c>
      <c r="AA1280" s="19"/>
      <c r="AB1280" s="605">
        <f t="shared" si="388"/>
        <v>0</v>
      </c>
      <c r="AC1280" s="607">
        <f t="shared" si="390"/>
        <v>0</v>
      </c>
      <c r="AD1280" s="19"/>
      <c r="AE1280" s="19"/>
    </row>
    <row r="1281" spans="1:31" x14ac:dyDescent="0.25">
      <c r="A1281" s="699">
        <v>1246</v>
      </c>
      <c r="B1281" s="19"/>
      <c r="C1281" s="148"/>
      <c r="D1281" s="148"/>
      <c r="E1281" s="148"/>
      <c r="F1281" s="101"/>
      <c r="G1281" s="10"/>
      <c r="H1281" s="101"/>
      <c r="I1281" s="148"/>
      <c r="J1281" s="10"/>
      <c r="K1281" s="10"/>
      <c r="L1281" s="19"/>
      <c r="M1281" s="13"/>
      <c r="N1281" s="249"/>
      <c r="O1281" s="19"/>
      <c r="P1281" s="19"/>
      <c r="Q1281" s="19"/>
      <c r="R1281" s="13"/>
      <c r="S1281" s="19"/>
      <c r="T1281" s="219">
        <f t="shared" si="389"/>
        <v>0</v>
      </c>
      <c r="U1281" s="19"/>
      <c r="V1281" s="19"/>
      <c r="W1281" s="19"/>
      <c r="X1281" s="19"/>
      <c r="Y1281" s="19"/>
      <c r="Z1281" s="605">
        <f t="shared" si="387"/>
        <v>0</v>
      </c>
      <c r="AA1281" s="19"/>
      <c r="AB1281" s="605">
        <f t="shared" si="388"/>
        <v>0</v>
      </c>
      <c r="AC1281" s="607">
        <f t="shared" si="390"/>
        <v>0</v>
      </c>
      <c r="AD1281" s="19"/>
      <c r="AE1281" s="19"/>
    </row>
    <row r="1282" spans="1:31" x14ac:dyDescent="0.25">
      <c r="A1282" s="311">
        <v>1247</v>
      </c>
      <c r="B1282" s="19"/>
      <c r="C1282" s="148"/>
      <c r="D1282" s="148"/>
      <c r="E1282" s="148"/>
      <c r="F1282" s="101"/>
      <c r="G1282" s="10"/>
      <c r="H1282" s="101"/>
      <c r="I1282" s="148"/>
      <c r="J1282" s="10"/>
      <c r="K1282" s="10"/>
      <c r="L1282" s="19"/>
      <c r="M1282" s="13"/>
      <c r="N1282" s="249"/>
      <c r="O1282" s="19"/>
      <c r="P1282" s="19"/>
      <c r="Q1282" s="19"/>
      <c r="R1282" s="13"/>
      <c r="S1282" s="19"/>
      <c r="T1282" s="219">
        <f t="shared" si="389"/>
        <v>0</v>
      </c>
      <c r="U1282" s="19"/>
      <c r="V1282" s="19"/>
      <c r="W1282" s="19"/>
      <c r="X1282" s="19"/>
      <c r="Y1282" s="19"/>
      <c r="Z1282" s="605">
        <f t="shared" ref="Z1282:Z1332" si="391">T1282*Y1282</f>
        <v>0</v>
      </c>
      <c r="AA1282" s="19"/>
      <c r="AB1282" s="605">
        <f t="shared" si="388"/>
        <v>0</v>
      </c>
      <c r="AC1282" s="607">
        <f t="shared" si="390"/>
        <v>0</v>
      </c>
      <c r="AD1282" s="19"/>
      <c r="AE1282" s="19"/>
    </row>
    <row r="1283" spans="1:31" x14ac:dyDescent="0.25">
      <c r="A1283" s="113">
        <v>1248</v>
      </c>
      <c r="B1283" s="19"/>
      <c r="C1283" s="148"/>
      <c r="D1283" s="148"/>
      <c r="E1283" s="148"/>
      <c r="F1283" s="101"/>
      <c r="G1283" s="10"/>
      <c r="H1283" s="101"/>
      <c r="I1283" s="148"/>
      <c r="J1283" s="10"/>
      <c r="K1283" s="10"/>
      <c r="L1283" s="19"/>
      <c r="M1283" s="13"/>
      <c r="N1283" s="249"/>
      <c r="O1283" s="19"/>
      <c r="P1283" s="19"/>
      <c r="Q1283" s="19"/>
      <c r="R1283" s="13"/>
      <c r="S1283" s="19"/>
      <c r="T1283" s="219">
        <f t="shared" si="389"/>
        <v>0</v>
      </c>
      <c r="U1283" s="19"/>
      <c r="V1283" s="19"/>
      <c r="W1283" s="19"/>
      <c r="X1283" s="19"/>
      <c r="Y1283" s="19"/>
      <c r="Z1283" s="605">
        <f t="shared" si="391"/>
        <v>0</v>
      </c>
      <c r="AA1283" s="19"/>
      <c r="AB1283" s="605">
        <f t="shared" ref="AB1283:AB1332" si="392">T1283*0.65</f>
        <v>0</v>
      </c>
      <c r="AC1283" s="607">
        <f t="shared" si="390"/>
        <v>0</v>
      </c>
      <c r="AD1283" s="19"/>
      <c r="AE1283" s="19"/>
    </row>
    <row r="1284" spans="1:31" x14ac:dyDescent="0.25">
      <c r="A1284" s="699">
        <v>1249</v>
      </c>
      <c r="B1284" s="19"/>
      <c r="C1284" s="148"/>
      <c r="D1284" s="148"/>
      <c r="E1284" s="148"/>
      <c r="F1284" s="101"/>
      <c r="G1284" s="10"/>
      <c r="H1284" s="101"/>
      <c r="I1284" s="148"/>
      <c r="J1284" s="10"/>
      <c r="K1284" s="10"/>
      <c r="L1284" s="19"/>
      <c r="M1284" s="13"/>
      <c r="N1284" s="249"/>
      <c r="O1284" s="19"/>
      <c r="P1284" s="19"/>
      <c r="Q1284" s="19"/>
      <c r="R1284" s="13"/>
      <c r="S1284" s="19"/>
      <c r="T1284" s="219">
        <f t="shared" si="389"/>
        <v>0</v>
      </c>
      <c r="U1284" s="19"/>
      <c r="V1284" s="19"/>
      <c r="W1284" s="19"/>
      <c r="X1284" s="19"/>
      <c r="Y1284" s="19"/>
      <c r="Z1284" s="605">
        <f t="shared" si="391"/>
        <v>0</v>
      </c>
      <c r="AA1284" s="19"/>
      <c r="AB1284" s="605">
        <f t="shared" si="392"/>
        <v>0</v>
      </c>
      <c r="AC1284" s="607">
        <f t="shared" si="390"/>
        <v>0</v>
      </c>
      <c r="AD1284" s="19"/>
      <c r="AE1284" s="19"/>
    </row>
    <row r="1285" spans="1:31" x14ac:dyDescent="0.25">
      <c r="A1285" s="311">
        <v>1250</v>
      </c>
      <c r="B1285" s="19"/>
      <c r="C1285" s="148"/>
      <c r="D1285" s="148"/>
      <c r="E1285" s="148"/>
      <c r="F1285" s="101"/>
      <c r="G1285" s="10"/>
      <c r="H1285" s="101"/>
      <c r="I1285" s="148"/>
      <c r="J1285" s="10"/>
      <c r="K1285" s="10"/>
      <c r="L1285" s="19"/>
      <c r="M1285" s="13"/>
      <c r="N1285" s="249"/>
      <c r="O1285" s="19"/>
      <c r="P1285" s="19"/>
      <c r="Q1285" s="19"/>
      <c r="R1285" s="13"/>
      <c r="S1285" s="19"/>
      <c r="T1285" s="219">
        <f t="shared" si="389"/>
        <v>0</v>
      </c>
      <c r="U1285" s="19"/>
      <c r="V1285" s="19"/>
      <c r="W1285" s="19"/>
      <c r="X1285" s="19"/>
      <c r="Y1285" s="19"/>
      <c r="Z1285" s="605">
        <f t="shared" si="391"/>
        <v>0</v>
      </c>
      <c r="AA1285" s="19"/>
      <c r="AB1285" s="605">
        <f t="shared" si="392"/>
        <v>0</v>
      </c>
      <c r="AC1285" s="607">
        <f t="shared" si="390"/>
        <v>0</v>
      </c>
      <c r="AD1285" s="19"/>
      <c r="AE1285" s="19"/>
    </row>
    <row r="1286" spans="1:31" x14ac:dyDescent="0.25">
      <c r="A1286" s="113">
        <v>1251</v>
      </c>
      <c r="B1286" s="19"/>
      <c r="C1286" s="148"/>
      <c r="D1286" s="148"/>
      <c r="E1286" s="148"/>
      <c r="F1286" s="101"/>
      <c r="G1286" s="10"/>
      <c r="H1286" s="101"/>
      <c r="I1286" s="148"/>
      <c r="J1286" s="10"/>
      <c r="K1286" s="10"/>
      <c r="L1286" s="19"/>
      <c r="M1286" s="13"/>
      <c r="N1286" s="249"/>
      <c r="O1286" s="19"/>
      <c r="P1286" s="19"/>
      <c r="Q1286" s="19"/>
      <c r="R1286" s="13"/>
      <c r="S1286" s="19"/>
      <c r="T1286" s="219">
        <f t="shared" si="389"/>
        <v>0</v>
      </c>
      <c r="U1286" s="19"/>
      <c r="V1286" s="19"/>
      <c r="W1286" s="19"/>
      <c r="X1286" s="19"/>
      <c r="Y1286" s="19"/>
      <c r="Z1286" s="605">
        <f t="shared" si="391"/>
        <v>0</v>
      </c>
      <c r="AA1286" s="19"/>
      <c r="AB1286" s="605">
        <f t="shared" si="392"/>
        <v>0</v>
      </c>
      <c r="AC1286" s="607">
        <f t="shared" si="390"/>
        <v>0</v>
      </c>
      <c r="AD1286" s="19"/>
      <c r="AE1286" s="19"/>
    </row>
    <row r="1287" spans="1:31" x14ac:dyDescent="0.25">
      <c r="A1287" s="699">
        <v>1252</v>
      </c>
      <c r="B1287" s="19"/>
      <c r="C1287" s="148"/>
      <c r="D1287" s="148"/>
      <c r="E1287" s="148"/>
      <c r="F1287" s="101"/>
      <c r="G1287" s="10"/>
      <c r="H1287" s="101"/>
      <c r="I1287" s="148"/>
      <c r="J1287" s="10"/>
      <c r="K1287" s="10"/>
      <c r="L1287" s="19"/>
      <c r="M1287" s="13"/>
      <c r="N1287" s="249"/>
      <c r="O1287" s="19"/>
      <c r="P1287" s="19"/>
      <c r="Q1287" s="19"/>
      <c r="R1287" s="13"/>
      <c r="S1287" s="19"/>
      <c r="T1287" s="219">
        <f t="shared" si="389"/>
        <v>0</v>
      </c>
      <c r="U1287" s="19"/>
      <c r="V1287" s="19"/>
      <c r="W1287" s="19"/>
      <c r="X1287" s="19"/>
      <c r="Y1287" s="19"/>
      <c r="Z1287" s="605">
        <f t="shared" si="391"/>
        <v>0</v>
      </c>
      <c r="AA1287" s="19"/>
      <c r="AB1287" s="605">
        <f t="shared" si="392"/>
        <v>0</v>
      </c>
      <c r="AC1287" s="607">
        <f t="shared" si="390"/>
        <v>0</v>
      </c>
      <c r="AD1287" s="19"/>
      <c r="AE1287" s="19"/>
    </row>
    <row r="1288" spans="1:31" x14ac:dyDescent="0.25">
      <c r="A1288" s="311">
        <v>1253</v>
      </c>
      <c r="B1288" s="19"/>
      <c r="C1288" s="148"/>
      <c r="D1288" s="148"/>
      <c r="E1288" s="148"/>
      <c r="F1288" s="101"/>
      <c r="G1288" s="10"/>
      <c r="H1288" s="101"/>
      <c r="I1288" s="148"/>
      <c r="J1288" s="10"/>
      <c r="K1288" s="10"/>
      <c r="L1288" s="19"/>
      <c r="M1288" s="13"/>
      <c r="N1288" s="249"/>
      <c r="O1288" s="19"/>
      <c r="P1288" s="19"/>
      <c r="Q1288" s="19"/>
      <c r="R1288" s="13"/>
      <c r="S1288" s="19"/>
      <c r="T1288" s="219">
        <f t="shared" si="389"/>
        <v>0</v>
      </c>
      <c r="U1288" s="19"/>
      <c r="V1288" s="19"/>
      <c r="W1288" s="19"/>
      <c r="X1288" s="19"/>
      <c r="Y1288" s="19"/>
      <c r="Z1288" s="605">
        <f t="shared" si="391"/>
        <v>0</v>
      </c>
      <c r="AA1288" s="19"/>
      <c r="AB1288" s="605">
        <f t="shared" si="392"/>
        <v>0</v>
      </c>
      <c r="AC1288" s="607">
        <f t="shared" si="390"/>
        <v>0</v>
      </c>
      <c r="AD1288" s="19"/>
      <c r="AE1288" s="19"/>
    </row>
    <row r="1289" spans="1:31" x14ac:dyDescent="0.25">
      <c r="A1289" s="113">
        <v>1254</v>
      </c>
      <c r="B1289" s="19"/>
      <c r="C1289" s="148"/>
      <c r="D1289" s="148"/>
      <c r="E1289" s="148"/>
      <c r="F1289" s="101"/>
      <c r="G1289" s="10"/>
      <c r="H1289" s="101"/>
      <c r="I1289" s="148"/>
      <c r="J1289" s="10"/>
      <c r="K1289" s="10"/>
      <c r="L1289" s="19"/>
      <c r="M1289" s="13"/>
      <c r="N1289" s="249"/>
      <c r="O1289" s="19"/>
      <c r="P1289" s="19"/>
      <c r="Q1289" s="19"/>
      <c r="R1289" s="13"/>
      <c r="S1289" s="19"/>
      <c r="T1289" s="219">
        <f t="shared" si="389"/>
        <v>0</v>
      </c>
      <c r="U1289" s="19"/>
      <c r="V1289" s="19"/>
      <c r="W1289" s="19"/>
      <c r="X1289" s="19"/>
      <c r="Y1289" s="19"/>
      <c r="Z1289" s="605">
        <f t="shared" si="391"/>
        <v>0</v>
      </c>
      <c r="AA1289" s="19"/>
      <c r="AB1289" s="605">
        <f t="shared" si="392"/>
        <v>0</v>
      </c>
      <c r="AC1289" s="607">
        <f t="shared" si="390"/>
        <v>0</v>
      </c>
      <c r="AD1289" s="19"/>
      <c r="AE1289" s="19"/>
    </row>
    <row r="1290" spans="1:31" x14ac:dyDescent="0.25">
      <c r="A1290" s="699">
        <v>1255</v>
      </c>
      <c r="B1290" s="19"/>
      <c r="C1290" s="148"/>
      <c r="D1290" s="148"/>
      <c r="E1290" s="148"/>
      <c r="F1290" s="101"/>
      <c r="G1290" s="10"/>
      <c r="H1290" s="101"/>
      <c r="I1290" s="148"/>
      <c r="J1290" s="10"/>
      <c r="K1290" s="10"/>
      <c r="L1290" s="19"/>
      <c r="M1290" s="13"/>
      <c r="N1290" s="249"/>
      <c r="O1290" s="19"/>
      <c r="P1290" s="19"/>
      <c r="Q1290" s="19"/>
      <c r="R1290" s="13"/>
      <c r="S1290" s="19"/>
      <c r="T1290" s="219">
        <f t="shared" si="389"/>
        <v>0</v>
      </c>
      <c r="U1290" s="19"/>
      <c r="V1290" s="19"/>
      <c r="W1290" s="19"/>
      <c r="X1290" s="19"/>
      <c r="Y1290" s="19"/>
      <c r="Z1290" s="605">
        <f t="shared" si="391"/>
        <v>0</v>
      </c>
      <c r="AA1290" s="19"/>
      <c r="AB1290" s="605">
        <f t="shared" si="392"/>
        <v>0</v>
      </c>
      <c r="AC1290" s="607">
        <f t="shared" si="390"/>
        <v>0</v>
      </c>
      <c r="AD1290" s="19"/>
      <c r="AE1290" s="19"/>
    </row>
    <row r="1291" spans="1:31" x14ac:dyDescent="0.25">
      <c r="A1291" s="311">
        <v>1256</v>
      </c>
      <c r="B1291" s="19"/>
      <c r="C1291" s="148"/>
      <c r="D1291" s="148"/>
      <c r="E1291" s="148"/>
      <c r="F1291" s="101"/>
      <c r="G1291" s="10"/>
      <c r="H1291" s="101"/>
      <c r="I1291" s="148"/>
      <c r="J1291" s="10"/>
      <c r="K1291" s="10"/>
      <c r="L1291" s="19"/>
      <c r="M1291" s="13"/>
      <c r="N1291" s="249"/>
      <c r="O1291" s="19"/>
      <c r="P1291" s="19"/>
      <c r="Q1291" s="19"/>
      <c r="R1291" s="13"/>
      <c r="S1291" s="19"/>
      <c r="T1291" s="219">
        <f t="shared" si="389"/>
        <v>0</v>
      </c>
      <c r="U1291" s="19"/>
      <c r="V1291" s="19"/>
      <c r="W1291" s="19"/>
      <c r="X1291" s="19"/>
      <c r="Y1291" s="19"/>
      <c r="Z1291" s="605">
        <f t="shared" si="391"/>
        <v>0</v>
      </c>
      <c r="AA1291" s="19"/>
      <c r="AB1291" s="605">
        <f t="shared" si="392"/>
        <v>0</v>
      </c>
      <c r="AC1291" s="607">
        <f t="shared" si="390"/>
        <v>0</v>
      </c>
      <c r="AD1291" s="19"/>
      <c r="AE1291" s="19"/>
    </row>
    <row r="1292" spans="1:31" x14ac:dyDescent="0.25">
      <c r="A1292" s="113">
        <v>1257</v>
      </c>
      <c r="B1292" s="19"/>
      <c r="C1292" s="148"/>
      <c r="D1292" s="148"/>
      <c r="E1292" s="148"/>
      <c r="F1292" s="101"/>
      <c r="G1292" s="10"/>
      <c r="H1292" s="101"/>
      <c r="I1292" s="148"/>
      <c r="J1292" s="10"/>
      <c r="K1292" s="10"/>
      <c r="L1292" s="19"/>
      <c r="M1292" s="13"/>
      <c r="N1292" s="249"/>
      <c r="O1292" s="19"/>
      <c r="P1292" s="19"/>
      <c r="Q1292" s="19"/>
      <c r="R1292" s="13"/>
      <c r="S1292" s="19"/>
      <c r="T1292" s="219">
        <f t="shared" si="389"/>
        <v>0</v>
      </c>
      <c r="U1292" s="19"/>
      <c r="V1292" s="19"/>
      <c r="W1292" s="19"/>
      <c r="X1292" s="19"/>
      <c r="Y1292" s="19"/>
      <c r="Z1292" s="605">
        <f t="shared" si="391"/>
        <v>0</v>
      </c>
      <c r="AA1292" s="19"/>
      <c r="AB1292" s="605">
        <f t="shared" si="392"/>
        <v>0</v>
      </c>
      <c r="AC1292" s="607">
        <f t="shared" si="390"/>
        <v>0</v>
      </c>
      <c r="AD1292" s="19"/>
      <c r="AE1292" s="19"/>
    </row>
    <row r="1293" spans="1:31" x14ac:dyDescent="0.25">
      <c r="A1293" s="699">
        <v>1258</v>
      </c>
      <c r="B1293" s="19"/>
      <c r="C1293" s="148"/>
      <c r="D1293" s="148"/>
      <c r="E1293" s="148"/>
      <c r="F1293" s="101"/>
      <c r="G1293" s="10"/>
      <c r="H1293" s="101"/>
      <c r="I1293" s="148"/>
      <c r="J1293" s="10"/>
      <c r="K1293" s="10"/>
      <c r="L1293" s="19"/>
      <c r="M1293" s="13"/>
      <c r="N1293" s="249"/>
      <c r="O1293" s="19"/>
      <c r="P1293" s="19"/>
      <c r="Q1293" s="19"/>
      <c r="R1293" s="13"/>
      <c r="S1293" s="19"/>
      <c r="T1293" s="219">
        <f t="shared" si="389"/>
        <v>0</v>
      </c>
      <c r="U1293" s="19"/>
      <c r="V1293" s="19"/>
      <c r="W1293" s="19"/>
      <c r="X1293" s="19"/>
      <c r="Y1293" s="19"/>
      <c r="Z1293" s="605">
        <f t="shared" si="391"/>
        <v>0</v>
      </c>
      <c r="AA1293" s="19"/>
      <c r="AB1293" s="605">
        <f t="shared" si="392"/>
        <v>0</v>
      </c>
      <c r="AC1293" s="607">
        <f t="shared" si="390"/>
        <v>0</v>
      </c>
      <c r="AD1293" s="19"/>
      <c r="AE1293" s="19"/>
    </row>
    <row r="1294" spans="1:31" x14ac:dyDescent="0.25">
      <c r="A1294" s="311">
        <v>1259</v>
      </c>
      <c r="B1294" s="19"/>
      <c r="C1294" s="148"/>
      <c r="D1294" s="148"/>
      <c r="E1294" s="148"/>
      <c r="F1294" s="101"/>
      <c r="G1294" s="10"/>
      <c r="H1294" s="101"/>
      <c r="I1294" s="148"/>
      <c r="J1294" s="10"/>
      <c r="K1294" s="10"/>
      <c r="L1294" s="19"/>
      <c r="M1294" s="13"/>
      <c r="N1294" s="249"/>
      <c r="O1294" s="19"/>
      <c r="P1294" s="19"/>
      <c r="Q1294" s="19"/>
      <c r="R1294" s="13"/>
      <c r="S1294" s="19"/>
      <c r="T1294" s="219">
        <f t="shared" si="389"/>
        <v>0</v>
      </c>
      <c r="U1294" s="19"/>
      <c r="V1294" s="19"/>
      <c r="W1294" s="19"/>
      <c r="X1294" s="19"/>
      <c r="Y1294" s="19"/>
      <c r="Z1294" s="605">
        <f t="shared" si="391"/>
        <v>0</v>
      </c>
      <c r="AA1294" s="19"/>
      <c r="AB1294" s="605">
        <f t="shared" si="392"/>
        <v>0</v>
      </c>
      <c r="AC1294" s="607">
        <f t="shared" si="390"/>
        <v>0</v>
      </c>
      <c r="AD1294" s="19"/>
      <c r="AE1294" s="19"/>
    </row>
    <row r="1295" spans="1:31" x14ac:dyDescent="0.25">
      <c r="A1295" s="113">
        <v>1260</v>
      </c>
      <c r="B1295" s="19"/>
      <c r="C1295" s="148"/>
      <c r="D1295" s="148"/>
      <c r="E1295" s="148"/>
      <c r="F1295" s="101"/>
      <c r="G1295" s="10"/>
      <c r="H1295" s="101"/>
      <c r="I1295" s="148"/>
      <c r="J1295" s="10"/>
      <c r="K1295" s="10"/>
      <c r="L1295" s="19"/>
      <c r="M1295" s="13"/>
      <c r="N1295" s="249"/>
      <c r="O1295" s="19"/>
      <c r="P1295" s="19"/>
      <c r="Q1295" s="19"/>
      <c r="R1295" s="13"/>
      <c r="S1295" s="19"/>
      <c r="T1295" s="219">
        <f t="shared" si="389"/>
        <v>0</v>
      </c>
      <c r="U1295" s="19"/>
      <c r="V1295" s="19"/>
      <c r="W1295" s="19"/>
      <c r="X1295" s="19"/>
      <c r="Y1295" s="19"/>
      <c r="Z1295" s="605">
        <f t="shared" si="391"/>
        <v>0</v>
      </c>
      <c r="AA1295" s="19"/>
      <c r="AB1295" s="605">
        <f t="shared" si="392"/>
        <v>0</v>
      </c>
      <c r="AC1295" s="607">
        <f t="shared" si="390"/>
        <v>0</v>
      </c>
      <c r="AD1295" s="19"/>
      <c r="AE1295" s="19"/>
    </row>
    <row r="1296" spans="1:31" x14ac:dyDescent="0.25">
      <c r="A1296" s="699">
        <v>1261</v>
      </c>
      <c r="B1296" s="19"/>
      <c r="C1296" s="148"/>
      <c r="D1296" s="148"/>
      <c r="E1296" s="148"/>
      <c r="F1296" s="101"/>
      <c r="G1296" s="10"/>
      <c r="H1296" s="101"/>
      <c r="I1296" s="148"/>
      <c r="J1296" s="10"/>
      <c r="K1296" s="10"/>
      <c r="L1296" s="19"/>
      <c r="M1296" s="13"/>
      <c r="N1296" s="249"/>
      <c r="O1296" s="19"/>
      <c r="P1296" s="19"/>
      <c r="Q1296" s="19"/>
      <c r="R1296" s="13"/>
      <c r="S1296" s="19"/>
      <c r="T1296" s="219">
        <f t="shared" si="389"/>
        <v>0</v>
      </c>
      <c r="U1296" s="19"/>
      <c r="V1296" s="19"/>
      <c r="W1296" s="19"/>
      <c r="X1296" s="19"/>
      <c r="Y1296" s="19"/>
      <c r="Z1296" s="605">
        <f t="shared" si="391"/>
        <v>0</v>
      </c>
      <c r="AA1296" s="19"/>
      <c r="AB1296" s="605">
        <f t="shared" si="392"/>
        <v>0</v>
      </c>
      <c r="AC1296" s="607">
        <f t="shared" si="390"/>
        <v>0</v>
      </c>
      <c r="AD1296" s="19"/>
      <c r="AE1296" s="19"/>
    </row>
    <row r="1297" spans="1:31" x14ac:dyDescent="0.25">
      <c r="A1297" s="311">
        <v>1262</v>
      </c>
      <c r="B1297" s="19"/>
      <c r="C1297" s="148"/>
      <c r="D1297" s="148"/>
      <c r="E1297" s="148"/>
      <c r="F1297" s="101"/>
      <c r="G1297" s="10"/>
      <c r="H1297" s="101"/>
      <c r="I1297" s="148"/>
      <c r="J1297" s="10"/>
      <c r="K1297" s="10"/>
      <c r="L1297" s="19"/>
      <c r="M1297" s="13"/>
      <c r="N1297" s="249"/>
      <c r="O1297" s="19"/>
      <c r="P1297" s="19"/>
      <c r="Q1297" s="19"/>
      <c r="R1297" s="13"/>
      <c r="S1297" s="19"/>
      <c r="T1297" s="219">
        <f t="shared" ref="T1297:T1332" si="393">R1297+S1297</f>
        <v>0</v>
      </c>
      <c r="U1297" s="19"/>
      <c r="V1297" s="19"/>
      <c r="W1297" s="19"/>
      <c r="X1297" s="19"/>
      <c r="Y1297" s="19"/>
      <c r="Z1297" s="605">
        <f t="shared" si="391"/>
        <v>0</v>
      </c>
      <c r="AA1297" s="19"/>
      <c r="AB1297" s="605">
        <f t="shared" si="392"/>
        <v>0</v>
      </c>
      <c r="AC1297" s="607">
        <f t="shared" si="390"/>
        <v>0</v>
      </c>
      <c r="AD1297" s="19"/>
      <c r="AE1297" s="19"/>
    </row>
    <row r="1298" spans="1:31" x14ac:dyDescent="0.25">
      <c r="A1298" s="113">
        <v>1263</v>
      </c>
      <c r="B1298" s="19"/>
      <c r="C1298" s="148"/>
      <c r="D1298" s="148"/>
      <c r="E1298" s="148"/>
      <c r="F1298" s="101"/>
      <c r="G1298" s="10"/>
      <c r="H1298" s="101"/>
      <c r="I1298" s="148"/>
      <c r="J1298" s="10"/>
      <c r="K1298" s="10"/>
      <c r="L1298" s="19"/>
      <c r="M1298" s="13"/>
      <c r="N1298" s="249"/>
      <c r="O1298" s="19"/>
      <c r="P1298" s="19"/>
      <c r="Q1298" s="19"/>
      <c r="R1298" s="13"/>
      <c r="S1298" s="19"/>
      <c r="T1298" s="219">
        <f t="shared" si="393"/>
        <v>0</v>
      </c>
      <c r="U1298" s="19"/>
      <c r="V1298" s="19"/>
      <c r="W1298" s="19"/>
      <c r="X1298" s="19"/>
      <c r="Y1298" s="19"/>
      <c r="Z1298" s="605">
        <f t="shared" si="391"/>
        <v>0</v>
      </c>
      <c r="AA1298" s="19"/>
      <c r="AB1298" s="605">
        <f t="shared" si="392"/>
        <v>0</v>
      </c>
      <c r="AC1298" s="607">
        <f t="shared" si="390"/>
        <v>0</v>
      </c>
      <c r="AD1298" s="19"/>
      <c r="AE1298" s="19"/>
    </row>
    <row r="1299" spans="1:31" x14ac:dyDescent="0.25">
      <c r="A1299" s="699">
        <v>1264</v>
      </c>
      <c r="B1299" s="19"/>
      <c r="C1299" s="148"/>
      <c r="D1299" s="148"/>
      <c r="E1299" s="148"/>
      <c r="F1299" s="101"/>
      <c r="G1299" s="10"/>
      <c r="H1299" s="101"/>
      <c r="I1299" s="148"/>
      <c r="J1299" s="10"/>
      <c r="K1299" s="10"/>
      <c r="L1299" s="19"/>
      <c r="M1299" s="13"/>
      <c r="N1299" s="249"/>
      <c r="O1299" s="19"/>
      <c r="P1299" s="19"/>
      <c r="Q1299" s="19"/>
      <c r="R1299" s="13"/>
      <c r="S1299" s="19"/>
      <c r="T1299" s="219">
        <f t="shared" si="393"/>
        <v>0</v>
      </c>
      <c r="U1299" s="19"/>
      <c r="V1299" s="19"/>
      <c r="W1299" s="19"/>
      <c r="X1299" s="19"/>
      <c r="Y1299" s="19"/>
      <c r="Z1299" s="605">
        <f t="shared" si="391"/>
        <v>0</v>
      </c>
      <c r="AA1299" s="19"/>
      <c r="AB1299" s="605">
        <f t="shared" si="392"/>
        <v>0</v>
      </c>
      <c r="AC1299" s="607">
        <f t="shared" si="390"/>
        <v>0</v>
      </c>
      <c r="AD1299" s="19"/>
      <c r="AE1299" s="19"/>
    </row>
    <row r="1300" spans="1:31" x14ac:dyDescent="0.25">
      <c r="A1300" s="311">
        <v>1265</v>
      </c>
      <c r="B1300" s="19"/>
      <c r="C1300" s="148"/>
      <c r="D1300" s="148"/>
      <c r="E1300" s="148"/>
      <c r="F1300" s="101"/>
      <c r="G1300" s="10"/>
      <c r="H1300" s="101"/>
      <c r="I1300" s="148"/>
      <c r="J1300" s="10"/>
      <c r="K1300" s="10"/>
      <c r="L1300" s="19"/>
      <c r="M1300" s="13"/>
      <c r="N1300" s="249"/>
      <c r="O1300" s="19"/>
      <c r="P1300" s="19"/>
      <c r="Q1300" s="19"/>
      <c r="R1300" s="13"/>
      <c r="S1300" s="19"/>
      <c r="T1300" s="219">
        <f t="shared" si="393"/>
        <v>0</v>
      </c>
      <c r="U1300" s="19"/>
      <c r="V1300" s="19"/>
      <c r="W1300" s="19"/>
      <c r="X1300" s="19"/>
      <c r="Y1300" s="19"/>
      <c r="Z1300" s="605">
        <f t="shared" si="391"/>
        <v>0</v>
      </c>
      <c r="AA1300" s="19"/>
      <c r="AB1300" s="605">
        <f t="shared" si="392"/>
        <v>0</v>
      </c>
      <c r="AC1300" s="607">
        <f t="shared" si="390"/>
        <v>0</v>
      </c>
      <c r="AD1300" s="19"/>
      <c r="AE1300" s="19"/>
    </row>
    <row r="1301" spans="1:31" x14ac:dyDescent="0.25">
      <c r="A1301" s="113">
        <v>1266</v>
      </c>
      <c r="B1301" s="19"/>
      <c r="C1301" s="148"/>
      <c r="D1301" s="148"/>
      <c r="E1301" s="148"/>
      <c r="F1301" s="101"/>
      <c r="G1301" s="10"/>
      <c r="H1301" s="101"/>
      <c r="I1301" s="148"/>
      <c r="J1301" s="10"/>
      <c r="K1301" s="10"/>
      <c r="L1301" s="19"/>
      <c r="M1301" s="13"/>
      <c r="N1301" s="249"/>
      <c r="O1301" s="19"/>
      <c r="P1301" s="19"/>
      <c r="Q1301" s="19"/>
      <c r="R1301" s="13"/>
      <c r="S1301" s="19"/>
      <c r="T1301" s="219">
        <f t="shared" si="393"/>
        <v>0</v>
      </c>
      <c r="U1301" s="19"/>
      <c r="V1301" s="19"/>
      <c r="W1301" s="19"/>
      <c r="X1301" s="19"/>
      <c r="Y1301" s="19"/>
      <c r="Z1301" s="605">
        <f t="shared" si="391"/>
        <v>0</v>
      </c>
      <c r="AA1301" s="19"/>
      <c r="AB1301" s="605">
        <f t="shared" si="392"/>
        <v>0</v>
      </c>
      <c r="AC1301" s="607">
        <f t="shared" si="390"/>
        <v>0</v>
      </c>
      <c r="AD1301" s="19"/>
      <c r="AE1301" s="19"/>
    </row>
    <row r="1302" spans="1:31" x14ac:dyDescent="0.25">
      <c r="A1302" s="699">
        <v>1267</v>
      </c>
      <c r="B1302" s="19"/>
      <c r="C1302" s="148"/>
      <c r="D1302" s="148"/>
      <c r="E1302" s="148"/>
      <c r="F1302" s="101"/>
      <c r="G1302" s="10"/>
      <c r="H1302" s="101"/>
      <c r="I1302" s="148"/>
      <c r="J1302" s="10"/>
      <c r="K1302" s="10"/>
      <c r="L1302" s="19"/>
      <c r="M1302" s="13"/>
      <c r="N1302" s="249"/>
      <c r="O1302" s="19"/>
      <c r="P1302" s="19"/>
      <c r="Q1302" s="19"/>
      <c r="R1302" s="13"/>
      <c r="S1302" s="19"/>
      <c r="T1302" s="219">
        <f t="shared" si="393"/>
        <v>0</v>
      </c>
      <c r="U1302" s="19"/>
      <c r="V1302" s="19"/>
      <c r="W1302" s="19"/>
      <c r="X1302" s="19"/>
      <c r="Y1302" s="19"/>
      <c r="Z1302" s="605">
        <f t="shared" si="391"/>
        <v>0</v>
      </c>
      <c r="AA1302" s="19"/>
      <c r="AB1302" s="605">
        <f t="shared" si="392"/>
        <v>0</v>
      </c>
      <c r="AC1302" s="607">
        <f t="shared" si="390"/>
        <v>0</v>
      </c>
      <c r="AD1302" s="19"/>
      <c r="AE1302" s="19"/>
    </row>
    <row r="1303" spans="1:31" x14ac:dyDescent="0.25">
      <c r="A1303" s="311">
        <v>1268</v>
      </c>
      <c r="B1303" s="19"/>
      <c r="C1303" s="148"/>
      <c r="D1303" s="148"/>
      <c r="E1303" s="148"/>
      <c r="F1303" s="101"/>
      <c r="G1303" s="10"/>
      <c r="H1303" s="101"/>
      <c r="I1303" s="148"/>
      <c r="J1303" s="10"/>
      <c r="K1303" s="10"/>
      <c r="L1303" s="19"/>
      <c r="M1303" s="13"/>
      <c r="N1303" s="249"/>
      <c r="O1303" s="19"/>
      <c r="P1303" s="19"/>
      <c r="Q1303" s="19"/>
      <c r="R1303" s="13"/>
      <c r="S1303" s="19"/>
      <c r="T1303" s="219">
        <f t="shared" si="393"/>
        <v>0</v>
      </c>
      <c r="U1303" s="19"/>
      <c r="V1303" s="19"/>
      <c r="W1303" s="19"/>
      <c r="X1303" s="19"/>
      <c r="Y1303" s="19"/>
      <c r="Z1303" s="605">
        <f t="shared" si="391"/>
        <v>0</v>
      </c>
      <c r="AA1303" s="19"/>
      <c r="AB1303" s="605">
        <f t="shared" si="392"/>
        <v>0</v>
      </c>
      <c r="AC1303" s="607">
        <f t="shared" si="390"/>
        <v>0</v>
      </c>
      <c r="AD1303" s="19"/>
      <c r="AE1303" s="19"/>
    </row>
    <row r="1304" spans="1:31" x14ac:dyDescent="0.25">
      <c r="A1304" s="113">
        <v>1269</v>
      </c>
      <c r="B1304" s="19"/>
      <c r="C1304" s="148"/>
      <c r="D1304" s="148"/>
      <c r="E1304" s="148"/>
      <c r="F1304" s="101"/>
      <c r="G1304" s="10"/>
      <c r="H1304" s="101"/>
      <c r="I1304" s="148"/>
      <c r="J1304" s="10"/>
      <c r="K1304" s="10"/>
      <c r="L1304" s="19"/>
      <c r="M1304" s="13"/>
      <c r="N1304" s="249"/>
      <c r="O1304" s="19"/>
      <c r="P1304" s="19"/>
      <c r="Q1304" s="19"/>
      <c r="R1304" s="13"/>
      <c r="S1304" s="19"/>
      <c r="T1304" s="219">
        <f t="shared" si="393"/>
        <v>0</v>
      </c>
      <c r="U1304" s="19"/>
      <c r="V1304" s="19"/>
      <c r="W1304" s="19"/>
      <c r="X1304" s="19"/>
      <c r="Y1304" s="19"/>
      <c r="Z1304" s="605">
        <f t="shared" si="391"/>
        <v>0</v>
      </c>
      <c r="AA1304" s="19"/>
      <c r="AB1304" s="605">
        <f t="shared" si="392"/>
        <v>0</v>
      </c>
      <c r="AC1304" s="607">
        <f t="shared" ref="AC1304:AC1332" si="394">AB1304-Z1304</f>
        <v>0</v>
      </c>
      <c r="AD1304" s="19"/>
      <c r="AE1304" s="19"/>
    </row>
    <row r="1305" spans="1:31" x14ac:dyDescent="0.25">
      <c r="A1305" s="699">
        <v>1270</v>
      </c>
      <c r="B1305" s="19"/>
      <c r="C1305" s="148"/>
      <c r="D1305" s="148"/>
      <c r="E1305" s="148"/>
      <c r="F1305" s="101"/>
      <c r="G1305" s="10"/>
      <c r="H1305" s="101"/>
      <c r="I1305" s="148"/>
      <c r="J1305" s="10"/>
      <c r="K1305" s="10"/>
      <c r="L1305" s="19"/>
      <c r="M1305" s="13"/>
      <c r="N1305" s="249"/>
      <c r="O1305" s="19"/>
      <c r="P1305" s="19"/>
      <c r="Q1305" s="19"/>
      <c r="R1305" s="13"/>
      <c r="S1305" s="19"/>
      <c r="T1305" s="219">
        <f t="shared" si="393"/>
        <v>0</v>
      </c>
      <c r="U1305" s="19"/>
      <c r="V1305" s="19"/>
      <c r="W1305" s="19"/>
      <c r="X1305" s="19"/>
      <c r="Y1305" s="19"/>
      <c r="Z1305" s="605">
        <f t="shared" si="391"/>
        <v>0</v>
      </c>
      <c r="AA1305" s="19"/>
      <c r="AB1305" s="605">
        <f t="shared" si="392"/>
        <v>0</v>
      </c>
      <c r="AC1305" s="607">
        <f t="shared" si="394"/>
        <v>0</v>
      </c>
      <c r="AD1305" s="19"/>
      <c r="AE1305" s="19"/>
    </row>
    <row r="1306" spans="1:31" x14ac:dyDescent="0.25">
      <c r="A1306" s="311">
        <v>1271</v>
      </c>
      <c r="B1306" s="19"/>
      <c r="C1306" s="148"/>
      <c r="D1306" s="148"/>
      <c r="E1306" s="148"/>
      <c r="F1306" s="101"/>
      <c r="G1306" s="10"/>
      <c r="H1306" s="101"/>
      <c r="I1306" s="148"/>
      <c r="J1306" s="10"/>
      <c r="K1306" s="10"/>
      <c r="L1306" s="19"/>
      <c r="M1306" s="13"/>
      <c r="N1306" s="249"/>
      <c r="O1306" s="19"/>
      <c r="P1306" s="19"/>
      <c r="Q1306" s="19"/>
      <c r="R1306" s="13"/>
      <c r="S1306" s="19"/>
      <c r="T1306" s="219">
        <f t="shared" si="393"/>
        <v>0</v>
      </c>
      <c r="U1306" s="19"/>
      <c r="V1306" s="19"/>
      <c r="W1306" s="19"/>
      <c r="X1306" s="19"/>
      <c r="Y1306" s="19"/>
      <c r="Z1306" s="605">
        <f t="shared" si="391"/>
        <v>0</v>
      </c>
      <c r="AA1306" s="19"/>
      <c r="AB1306" s="605">
        <f t="shared" si="392"/>
        <v>0</v>
      </c>
      <c r="AC1306" s="607">
        <f t="shared" si="394"/>
        <v>0</v>
      </c>
      <c r="AD1306" s="19"/>
      <c r="AE1306" s="19"/>
    </row>
    <row r="1307" spans="1:31" x14ac:dyDescent="0.25">
      <c r="A1307" s="113">
        <v>1272</v>
      </c>
      <c r="B1307" s="19"/>
      <c r="C1307" s="148"/>
      <c r="D1307" s="148"/>
      <c r="E1307" s="148"/>
      <c r="F1307" s="101"/>
      <c r="G1307" s="10"/>
      <c r="H1307" s="101"/>
      <c r="I1307" s="148"/>
      <c r="J1307" s="10"/>
      <c r="K1307" s="10"/>
      <c r="L1307" s="19"/>
      <c r="M1307" s="13"/>
      <c r="N1307" s="249"/>
      <c r="O1307" s="19"/>
      <c r="P1307" s="19"/>
      <c r="Q1307" s="19"/>
      <c r="R1307" s="13"/>
      <c r="S1307" s="19"/>
      <c r="T1307" s="219">
        <f t="shared" si="393"/>
        <v>0</v>
      </c>
      <c r="U1307" s="19"/>
      <c r="V1307" s="19"/>
      <c r="W1307" s="19"/>
      <c r="X1307" s="19"/>
      <c r="Y1307" s="19"/>
      <c r="Z1307" s="605">
        <f t="shared" si="391"/>
        <v>0</v>
      </c>
      <c r="AA1307" s="19"/>
      <c r="AB1307" s="605">
        <f t="shared" si="392"/>
        <v>0</v>
      </c>
      <c r="AC1307" s="607">
        <f t="shared" si="394"/>
        <v>0</v>
      </c>
      <c r="AD1307" s="19"/>
      <c r="AE1307" s="19"/>
    </row>
    <row r="1308" spans="1:31" x14ac:dyDescent="0.25">
      <c r="A1308" s="699">
        <v>1273</v>
      </c>
      <c r="B1308" s="19"/>
      <c r="C1308" s="148"/>
      <c r="D1308" s="148"/>
      <c r="E1308" s="148"/>
      <c r="F1308" s="101"/>
      <c r="G1308" s="10"/>
      <c r="H1308" s="101"/>
      <c r="I1308" s="148"/>
      <c r="J1308" s="10"/>
      <c r="K1308" s="10"/>
      <c r="L1308" s="19"/>
      <c r="M1308" s="13"/>
      <c r="N1308" s="249"/>
      <c r="O1308" s="19"/>
      <c r="P1308" s="19"/>
      <c r="Q1308" s="19"/>
      <c r="R1308" s="13"/>
      <c r="S1308" s="19"/>
      <c r="T1308" s="219">
        <f t="shared" si="393"/>
        <v>0</v>
      </c>
      <c r="U1308" s="19"/>
      <c r="V1308" s="19"/>
      <c r="W1308" s="19"/>
      <c r="X1308" s="19"/>
      <c r="Y1308" s="19"/>
      <c r="Z1308" s="605">
        <f t="shared" si="391"/>
        <v>0</v>
      </c>
      <c r="AA1308" s="19"/>
      <c r="AB1308" s="605">
        <f t="shared" si="392"/>
        <v>0</v>
      </c>
      <c r="AC1308" s="607">
        <f t="shared" si="394"/>
        <v>0</v>
      </c>
      <c r="AD1308" s="19"/>
      <c r="AE1308" s="19"/>
    </row>
    <row r="1309" spans="1:31" x14ac:dyDescent="0.25">
      <c r="A1309" s="311">
        <v>1274</v>
      </c>
      <c r="B1309" s="19"/>
      <c r="C1309" s="148"/>
      <c r="D1309" s="148"/>
      <c r="E1309" s="148"/>
      <c r="F1309" s="101"/>
      <c r="G1309" s="10"/>
      <c r="H1309" s="101"/>
      <c r="I1309" s="148"/>
      <c r="J1309" s="10"/>
      <c r="K1309" s="10"/>
      <c r="L1309" s="19"/>
      <c r="M1309" s="13"/>
      <c r="N1309" s="249"/>
      <c r="O1309" s="19"/>
      <c r="P1309" s="19"/>
      <c r="Q1309" s="19"/>
      <c r="R1309" s="13"/>
      <c r="S1309" s="19"/>
      <c r="T1309" s="219">
        <f t="shared" si="393"/>
        <v>0</v>
      </c>
      <c r="U1309" s="19"/>
      <c r="V1309" s="19"/>
      <c r="W1309" s="19"/>
      <c r="X1309" s="19"/>
      <c r="Y1309" s="19"/>
      <c r="Z1309" s="605">
        <f t="shared" si="391"/>
        <v>0</v>
      </c>
      <c r="AA1309" s="19"/>
      <c r="AB1309" s="605">
        <f t="shared" si="392"/>
        <v>0</v>
      </c>
      <c r="AC1309" s="607">
        <f t="shared" si="394"/>
        <v>0</v>
      </c>
      <c r="AD1309" s="19"/>
      <c r="AE1309" s="19"/>
    </row>
    <row r="1310" spans="1:31" x14ac:dyDescent="0.25">
      <c r="A1310" s="113">
        <v>1275</v>
      </c>
      <c r="B1310" s="19"/>
      <c r="C1310" s="148"/>
      <c r="D1310" s="148"/>
      <c r="E1310" s="148"/>
      <c r="F1310" s="101"/>
      <c r="G1310" s="10"/>
      <c r="H1310" s="101"/>
      <c r="I1310" s="148"/>
      <c r="J1310" s="10"/>
      <c r="K1310" s="10"/>
      <c r="L1310" s="19"/>
      <c r="M1310" s="13"/>
      <c r="N1310" s="249"/>
      <c r="O1310" s="19"/>
      <c r="P1310" s="19"/>
      <c r="Q1310" s="19"/>
      <c r="R1310" s="13"/>
      <c r="S1310" s="19"/>
      <c r="T1310" s="219">
        <f t="shared" si="393"/>
        <v>0</v>
      </c>
      <c r="U1310" s="19"/>
      <c r="V1310" s="19"/>
      <c r="W1310" s="19"/>
      <c r="X1310" s="19"/>
      <c r="Y1310" s="19"/>
      <c r="Z1310" s="605">
        <f t="shared" si="391"/>
        <v>0</v>
      </c>
      <c r="AA1310" s="19"/>
      <c r="AB1310" s="605">
        <f t="shared" si="392"/>
        <v>0</v>
      </c>
      <c r="AC1310" s="607">
        <f t="shared" si="394"/>
        <v>0</v>
      </c>
      <c r="AD1310" s="19"/>
      <c r="AE1310" s="19"/>
    </row>
    <row r="1311" spans="1:31" x14ac:dyDescent="0.25">
      <c r="A1311" s="699">
        <v>1276</v>
      </c>
      <c r="B1311" s="19"/>
      <c r="C1311" s="148"/>
      <c r="D1311" s="148"/>
      <c r="E1311" s="148"/>
      <c r="F1311" s="101"/>
      <c r="G1311" s="10"/>
      <c r="H1311" s="101"/>
      <c r="I1311" s="148"/>
      <c r="J1311" s="10"/>
      <c r="K1311" s="10"/>
      <c r="L1311" s="19"/>
      <c r="M1311" s="13"/>
      <c r="N1311" s="249"/>
      <c r="O1311" s="19"/>
      <c r="P1311" s="19"/>
      <c r="Q1311" s="19"/>
      <c r="R1311" s="13"/>
      <c r="S1311" s="19"/>
      <c r="T1311" s="219">
        <f t="shared" si="393"/>
        <v>0</v>
      </c>
      <c r="U1311" s="19"/>
      <c r="V1311" s="19"/>
      <c r="W1311" s="19"/>
      <c r="X1311" s="19"/>
      <c r="Y1311" s="19"/>
      <c r="Z1311" s="605">
        <f t="shared" si="391"/>
        <v>0</v>
      </c>
      <c r="AA1311" s="19"/>
      <c r="AB1311" s="605">
        <f t="shared" si="392"/>
        <v>0</v>
      </c>
      <c r="AC1311" s="607">
        <f t="shared" si="394"/>
        <v>0</v>
      </c>
      <c r="AD1311" s="19"/>
      <c r="AE1311" s="19"/>
    </row>
    <row r="1312" spans="1:31" x14ac:dyDescent="0.25">
      <c r="A1312" s="311">
        <v>1277</v>
      </c>
      <c r="B1312" s="19"/>
      <c r="C1312" s="148"/>
      <c r="D1312" s="148"/>
      <c r="E1312" s="148"/>
      <c r="F1312" s="101"/>
      <c r="G1312" s="10"/>
      <c r="H1312" s="101"/>
      <c r="I1312" s="148"/>
      <c r="J1312" s="10"/>
      <c r="K1312" s="10"/>
      <c r="L1312" s="19"/>
      <c r="M1312" s="13"/>
      <c r="N1312" s="249"/>
      <c r="O1312" s="19"/>
      <c r="P1312" s="19"/>
      <c r="Q1312" s="19"/>
      <c r="R1312" s="13"/>
      <c r="S1312" s="19"/>
      <c r="T1312" s="219">
        <f t="shared" si="393"/>
        <v>0</v>
      </c>
      <c r="U1312" s="19"/>
      <c r="V1312" s="19"/>
      <c r="W1312" s="19"/>
      <c r="X1312" s="19"/>
      <c r="Y1312" s="19"/>
      <c r="Z1312" s="605">
        <f t="shared" si="391"/>
        <v>0</v>
      </c>
      <c r="AA1312" s="19"/>
      <c r="AB1312" s="605">
        <f t="shared" si="392"/>
        <v>0</v>
      </c>
      <c r="AC1312" s="607">
        <f t="shared" si="394"/>
        <v>0</v>
      </c>
      <c r="AD1312" s="19"/>
      <c r="AE1312" s="19"/>
    </row>
    <row r="1313" spans="1:31" x14ac:dyDescent="0.25">
      <c r="A1313" s="113">
        <v>1278</v>
      </c>
      <c r="B1313" s="19"/>
      <c r="C1313" s="148"/>
      <c r="D1313" s="148"/>
      <c r="E1313" s="148"/>
      <c r="F1313" s="101"/>
      <c r="G1313" s="10"/>
      <c r="H1313" s="101"/>
      <c r="I1313" s="148"/>
      <c r="J1313" s="10"/>
      <c r="K1313" s="10"/>
      <c r="L1313" s="19"/>
      <c r="M1313" s="13"/>
      <c r="N1313" s="249"/>
      <c r="O1313" s="19"/>
      <c r="P1313" s="19"/>
      <c r="Q1313" s="19"/>
      <c r="R1313" s="13"/>
      <c r="S1313" s="19"/>
      <c r="T1313" s="219">
        <f t="shared" si="393"/>
        <v>0</v>
      </c>
      <c r="U1313" s="19"/>
      <c r="V1313" s="19"/>
      <c r="W1313" s="19"/>
      <c r="X1313" s="19"/>
      <c r="Y1313" s="19"/>
      <c r="Z1313" s="605">
        <f t="shared" si="391"/>
        <v>0</v>
      </c>
      <c r="AA1313" s="19"/>
      <c r="AB1313" s="605">
        <f t="shared" si="392"/>
        <v>0</v>
      </c>
      <c r="AC1313" s="607">
        <f t="shared" si="394"/>
        <v>0</v>
      </c>
      <c r="AD1313" s="19"/>
      <c r="AE1313" s="19"/>
    </row>
    <row r="1314" spans="1:31" x14ac:dyDescent="0.25">
      <c r="A1314" s="699">
        <v>1279</v>
      </c>
      <c r="B1314" s="19"/>
      <c r="C1314" s="148"/>
      <c r="D1314" s="148"/>
      <c r="E1314" s="148"/>
      <c r="F1314" s="101"/>
      <c r="G1314" s="10"/>
      <c r="H1314" s="101"/>
      <c r="I1314" s="148"/>
      <c r="J1314" s="10"/>
      <c r="K1314" s="10"/>
      <c r="L1314" s="19"/>
      <c r="M1314" s="13"/>
      <c r="N1314" s="249"/>
      <c r="O1314" s="19"/>
      <c r="P1314" s="19"/>
      <c r="Q1314" s="19"/>
      <c r="R1314" s="13"/>
      <c r="S1314" s="19"/>
      <c r="T1314" s="219">
        <f t="shared" si="393"/>
        <v>0</v>
      </c>
      <c r="U1314" s="19"/>
      <c r="V1314" s="19"/>
      <c r="W1314" s="19"/>
      <c r="X1314" s="19"/>
      <c r="Y1314" s="19"/>
      <c r="Z1314" s="605">
        <f t="shared" si="391"/>
        <v>0</v>
      </c>
      <c r="AA1314" s="19"/>
      <c r="AB1314" s="605">
        <f t="shared" si="392"/>
        <v>0</v>
      </c>
      <c r="AC1314" s="607">
        <f t="shared" si="394"/>
        <v>0</v>
      </c>
      <c r="AD1314" s="19"/>
      <c r="AE1314" s="19"/>
    </row>
    <row r="1315" spans="1:31" x14ac:dyDescent="0.25">
      <c r="A1315" s="311">
        <v>1280</v>
      </c>
      <c r="B1315" s="19"/>
      <c r="C1315" s="148"/>
      <c r="D1315" s="148"/>
      <c r="E1315" s="148"/>
      <c r="F1315" s="101"/>
      <c r="G1315" s="10"/>
      <c r="H1315" s="101"/>
      <c r="I1315" s="148"/>
      <c r="J1315" s="10"/>
      <c r="K1315" s="10"/>
      <c r="L1315" s="19"/>
      <c r="M1315" s="13"/>
      <c r="N1315" s="249"/>
      <c r="O1315" s="19"/>
      <c r="P1315" s="19"/>
      <c r="Q1315" s="19"/>
      <c r="R1315" s="13"/>
      <c r="S1315" s="19"/>
      <c r="T1315" s="219">
        <f t="shared" si="393"/>
        <v>0</v>
      </c>
      <c r="U1315" s="19"/>
      <c r="V1315" s="19"/>
      <c r="W1315" s="19"/>
      <c r="X1315" s="19"/>
      <c r="Y1315" s="19"/>
      <c r="Z1315" s="605">
        <f t="shared" si="391"/>
        <v>0</v>
      </c>
      <c r="AA1315" s="19"/>
      <c r="AB1315" s="605">
        <f t="shared" si="392"/>
        <v>0</v>
      </c>
      <c r="AC1315" s="607">
        <f t="shared" si="394"/>
        <v>0</v>
      </c>
      <c r="AD1315" s="19"/>
      <c r="AE1315" s="19"/>
    </row>
    <row r="1316" spans="1:31" x14ac:dyDescent="0.25">
      <c r="A1316" s="113">
        <v>1281</v>
      </c>
      <c r="B1316" s="19"/>
      <c r="C1316" s="148"/>
      <c r="D1316" s="148"/>
      <c r="E1316" s="148"/>
      <c r="F1316" s="101"/>
      <c r="G1316" s="10"/>
      <c r="H1316" s="101"/>
      <c r="I1316" s="148"/>
      <c r="J1316" s="10"/>
      <c r="K1316" s="10"/>
      <c r="L1316" s="19"/>
      <c r="M1316" s="13"/>
      <c r="N1316" s="249"/>
      <c r="O1316" s="19"/>
      <c r="P1316" s="19"/>
      <c r="Q1316" s="19"/>
      <c r="R1316" s="13"/>
      <c r="S1316" s="19"/>
      <c r="T1316" s="219">
        <f t="shared" si="393"/>
        <v>0</v>
      </c>
      <c r="U1316" s="19"/>
      <c r="V1316" s="19"/>
      <c r="W1316" s="19"/>
      <c r="X1316" s="19"/>
      <c r="Y1316" s="19"/>
      <c r="Z1316" s="605">
        <f t="shared" si="391"/>
        <v>0</v>
      </c>
      <c r="AA1316" s="19"/>
      <c r="AB1316" s="605">
        <f t="shared" si="392"/>
        <v>0</v>
      </c>
      <c r="AC1316" s="607">
        <f t="shared" si="394"/>
        <v>0</v>
      </c>
      <c r="AD1316" s="19"/>
      <c r="AE1316" s="19"/>
    </row>
    <row r="1317" spans="1:31" x14ac:dyDescent="0.25">
      <c r="A1317" s="699">
        <v>1282</v>
      </c>
      <c r="B1317" s="19"/>
      <c r="C1317" s="148"/>
      <c r="D1317" s="148"/>
      <c r="E1317" s="148"/>
      <c r="F1317" s="101"/>
      <c r="G1317" s="10"/>
      <c r="H1317" s="101"/>
      <c r="I1317" s="148"/>
      <c r="J1317" s="10"/>
      <c r="K1317" s="10"/>
      <c r="L1317" s="19"/>
      <c r="M1317" s="13"/>
      <c r="N1317" s="249"/>
      <c r="O1317" s="19"/>
      <c r="P1317" s="19"/>
      <c r="Q1317" s="19"/>
      <c r="R1317" s="13"/>
      <c r="S1317" s="19"/>
      <c r="T1317" s="219">
        <f t="shared" si="393"/>
        <v>0</v>
      </c>
      <c r="U1317" s="19"/>
      <c r="V1317" s="19"/>
      <c r="W1317" s="19"/>
      <c r="X1317" s="19"/>
      <c r="Y1317" s="19"/>
      <c r="Z1317" s="605">
        <f t="shared" si="391"/>
        <v>0</v>
      </c>
      <c r="AA1317" s="19"/>
      <c r="AB1317" s="605">
        <f t="shared" si="392"/>
        <v>0</v>
      </c>
      <c r="AC1317" s="607">
        <f t="shared" si="394"/>
        <v>0</v>
      </c>
      <c r="AD1317" s="19"/>
      <c r="AE1317" s="19"/>
    </row>
    <row r="1318" spans="1:31" x14ac:dyDescent="0.25">
      <c r="A1318" s="311">
        <v>1283</v>
      </c>
      <c r="B1318" s="19"/>
      <c r="C1318" s="148"/>
      <c r="D1318" s="148"/>
      <c r="E1318" s="148"/>
      <c r="F1318" s="101"/>
      <c r="G1318" s="10"/>
      <c r="H1318" s="101"/>
      <c r="I1318" s="148"/>
      <c r="J1318" s="10"/>
      <c r="K1318" s="10"/>
      <c r="L1318" s="19"/>
      <c r="M1318" s="13"/>
      <c r="N1318" s="249"/>
      <c r="O1318" s="19"/>
      <c r="P1318" s="19"/>
      <c r="Q1318" s="19"/>
      <c r="R1318" s="13"/>
      <c r="S1318" s="19"/>
      <c r="T1318" s="219">
        <f t="shared" si="393"/>
        <v>0</v>
      </c>
      <c r="U1318" s="19"/>
      <c r="V1318" s="19"/>
      <c r="W1318" s="19"/>
      <c r="X1318" s="19"/>
      <c r="Y1318" s="19"/>
      <c r="Z1318" s="605">
        <f t="shared" si="391"/>
        <v>0</v>
      </c>
      <c r="AA1318" s="19"/>
      <c r="AB1318" s="605">
        <f t="shared" si="392"/>
        <v>0</v>
      </c>
      <c r="AC1318" s="607">
        <f t="shared" si="394"/>
        <v>0</v>
      </c>
      <c r="AD1318" s="19"/>
      <c r="AE1318" s="19"/>
    </row>
    <row r="1319" spans="1:31" x14ac:dyDescent="0.25">
      <c r="A1319" s="113">
        <v>1284</v>
      </c>
      <c r="B1319" s="19"/>
      <c r="C1319" s="148"/>
      <c r="D1319" s="148"/>
      <c r="E1319" s="148"/>
      <c r="F1319" s="101"/>
      <c r="G1319" s="10"/>
      <c r="H1319" s="101"/>
      <c r="I1319" s="148"/>
      <c r="J1319" s="10"/>
      <c r="K1319" s="10"/>
      <c r="L1319" s="19"/>
      <c r="M1319" s="13"/>
      <c r="N1319" s="249"/>
      <c r="O1319" s="19"/>
      <c r="P1319" s="19"/>
      <c r="Q1319" s="19"/>
      <c r="R1319" s="13"/>
      <c r="S1319" s="19"/>
      <c r="T1319" s="219">
        <f t="shared" si="393"/>
        <v>0</v>
      </c>
      <c r="U1319" s="19"/>
      <c r="V1319" s="19"/>
      <c r="W1319" s="19"/>
      <c r="X1319" s="19"/>
      <c r="Y1319" s="19"/>
      <c r="Z1319" s="605">
        <f t="shared" si="391"/>
        <v>0</v>
      </c>
      <c r="AA1319" s="19"/>
      <c r="AB1319" s="605">
        <f t="shared" si="392"/>
        <v>0</v>
      </c>
      <c r="AC1319" s="607">
        <f t="shared" si="394"/>
        <v>0</v>
      </c>
      <c r="AD1319" s="19"/>
      <c r="AE1319" s="19"/>
    </row>
    <row r="1320" spans="1:31" x14ac:dyDescent="0.25">
      <c r="A1320" s="699">
        <v>1285</v>
      </c>
      <c r="B1320" s="19"/>
      <c r="C1320" s="148"/>
      <c r="D1320" s="148"/>
      <c r="E1320" s="148"/>
      <c r="F1320" s="101"/>
      <c r="G1320" s="10"/>
      <c r="H1320" s="101"/>
      <c r="I1320" s="148"/>
      <c r="J1320" s="10"/>
      <c r="K1320" s="10"/>
      <c r="L1320" s="19"/>
      <c r="M1320" s="13"/>
      <c r="N1320" s="249"/>
      <c r="O1320" s="19"/>
      <c r="P1320" s="19"/>
      <c r="Q1320" s="19"/>
      <c r="R1320" s="13"/>
      <c r="S1320" s="19"/>
      <c r="T1320" s="219">
        <f t="shared" si="393"/>
        <v>0</v>
      </c>
      <c r="U1320" s="19"/>
      <c r="V1320" s="19"/>
      <c r="W1320" s="19"/>
      <c r="X1320" s="19"/>
      <c r="Y1320" s="19"/>
      <c r="Z1320" s="605">
        <f t="shared" si="391"/>
        <v>0</v>
      </c>
      <c r="AA1320" s="19"/>
      <c r="AB1320" s="605">
        <f t="shared" si="392"/>
        <v>0</v>
      </c>
      <c r="AC1320" s="607">
        <f t="shared" si="394"/>
        <v>0</v>
      </c>
      <c r="AD1320" s="19"/>
      <c r="AE1320" s="19"/>
    </row>
    <row r="1321" spans="1:31" x14ac:dyDescent="0.25">
      <c r="A1321" s="311">
        <v>1286</v>
      </c>
      <c r="B1321" s="19"/>
      <c r="C1321" s="148"/>
      <c r="D1321" s="148"/>
      <c r="E1321" s="148"/>
      <c r="F1321" s="101"/>
      <c r="G1321" s="10"/>
      <c r="H1321" s="101"/>
      <c r="I1321" s="148"/>
      <c r="J1321" s="10"/>
      <c r="K1321" s="10"/>
      <c r="L1321" s="19"/>
      <c r="M1321" s="13"/>
      <c r="N1321" s="249"/>
      <c r="O1321" s="19"/>
      <c r="P1321" s="19"/>
      <c r="Q1321" s="19"/>
      <c r="R1321" s="13"/>
      <c r="S1321" s="19"/>
      <c r="T1321" s="219">
        <f t="shared" si="393"/>
        <v>0</v>
      </c>
      <c r="U1321" s="19"/>
      <c r="V1321" s="19"/>
      <c r="W1321" s="19"/>
      <c r="X1321" s="19"/>
      <c r="Y1321" s="19"/>
      <c r="Z1321" s="605">
        <f t="shared" si="391"/>
        <v>0</v>
      </c>
      <c r="AA1321" s="19"/>
      <c r="AB1321" s="605">
        <f t="shared" si="392"/>
        <v>0</v>
      </c>
      <c r="AC1321" s="607">
        <f t="shared" si="394"/>
        <v>0</v>
      </c>
      <c r="AD1321" s="19"/>
      <c r="AE1321" s="19"/>
    </row>
    <row r="1322" spans="1:31" x14ac:dyDescent="0.25">
      <c r="A1322" s="113">
        <v>1287</v>
      </c>
      <c r="B1322" s="19"/>
      <c r="C1322" s="148"/>
      <c r="D1322" s="148"/>
      <c r="E1322" s="148"/>
      <c r="F1322" s="101"/>
      <c r="G1322" s="10"/>
      <c r="H1322" s="101"/>
      <c r="I1322" s="148"/>
      <c r="J1322" s="10"/>
      <c r="K1322" s="10"/>
      <c r="L1322" s="19"/>
      <c r="M1322" s="13"/>
      <c r="N1322" s="249"/>
      <c r="O1322" s="19"/>
      <c r="P1322" s="19"/>
      <c r="Q1322" s="19"/>
      <c r="R1322" s="13"/>
      <c r="S1322" s="19"/>
      <c r="T1322" s="219">
        <f t="shared" si="393"/>
        <v>0</v>
      </c>
      <c r="U1322" s="19"/>
      <c r="V1322" s="19"/>
      <c r="W1322" s="19"/>
      <c r="X1322" s="19"/>
      <c r="Y1322" s="19"/>
      <c r="Z1322" s="605">
        <f t="shared" si="391"/>
        <v>0</v>
      </c>
      <c r="AA1322" s="19"/>
      <c r="AB1322" s="605">
        <f t="shared" si="392"/>
        <v>0</v>
      </c>
      <c r="AC1322" s="607">
        <f t="shared" si="394"/>
        <v>0</v>
      </c>
      <c r="AD1322" s="19"/>
      <c r="AE1322" s="19"/>
    </row>
    <row r="1323" spans="1:31" x14ac:dyDescent="0.25">
      <c r="A1323" s="699">
        <v>1288</v>
      </c>
      <c r="B1323" s="19"/>
      <c r="C1323" s="148"/>
      <c r="D1323" s="148"/>
      <c r="E1323" s="148"/>
      <c r="F1323" s="101"/>
      <c r="G1323" s="10"/>
      <c r="H1323" s="101"/>
      <c r="I1323" s="148"/>
      <c r="J1323" s="10"/>
      <c r="K1323" s="10"/>
      <c r="L1323" s="19"/>
      <c r="M1323" s="13"/>
      <c r="N1323" s="249"/>
      <c r="O1323" s="19"/>
      <c r="P1323" s="19"/>
      <c r="Q1323" s="19"/>
      <c r="R1323" s="13"/>
      <c r="S1323" s="19"/>
      <c r="T1323" s="219">
        <f t="shared" si="393"/>
        <v>0</v>
      </c>
      <c r="U1323" s="19"/>
      <c r="V1323" s="19"/>
      <c r="W1323" s="19"/>
      <c r="X1323" s="19"/>
      <c r="Y1323" s="19"/>
      <c r="Z1323" s="605">
        <f t="shared" si="391"/>
        <v>0</v>
      </c>
      <c r="AA1323" s="19"/>
      <c r="AB1323" s="605">
        <f t="shared" si="392"/>
        <v>0</v>
      </c>
      <c r="AC1323" s="607">
        <f t="shared" si="394"/>
        <v>0</v>
      </c>
      <c r="AD1323" s="19"/>
      <c r="AE1323" s="19"/>
    </row>
    <row r="1324" spans="1:31" x14ac:dyDescent="0.25">
      <c r="A1324" s="311">
        <v>1289</v>
      </c>
      <c r="B1324" s="19"/>
      <c r="C1324" s="148"/>
      <c r="D1324" s="148"/>
      <c r="E1324" s="148"/>
      <c r="F1324" s="101"/>
      <c r="G1324" s="10"/>
      <c r="H1324" s="101"/>
      <c r="I1324" s="148"/>
      <c r="J1324" s="10"/>
      <c r="K1324" s="10"/>
      <c r="L1324" s="19"/>
      <c r="M1324" s="13"/>
      <c r="N1324" s="249"/>
      <c r="O1324" s="19"/>
      <c r="P1324" s="19"/>
      <c r="Q1324" s="19"/>
      <c r="R1324" s="13"/>
      <c r="S1324" s="19"/>
      <c r="T1324" s="219">
        <f t="shared" si="393"/>
        <v>0</v>
      </c>
      <c r="U1324" s="19"/>
      <c r="V1324" s="19"/>
      <c r="W1324" s="19"/>
      <c r="X1324" s="19"/>
      <c r="Y1324" s="19"/>
      <c r="Z1324" s="605">
        <f t="shared" si="391"/>
        <v>0</v>
      </c>
      <c r="AA1324" s="19"/>
      <c r="AB1324" s="605">
        <f t="shared" si="392"/>
        <v>0</v>
      </c>
      <c r="AC1324" s="607">
        <f t="shared" si="394"/>
        <v>0</v>
      </c>
      <c r="AD1324" s="19"/>
      <c r="AE1324" s="19"/>
    </row>
    <row r="1325" spans="1:31" x14ac:dyDescent="0.25">
      <c r="A1325" s="113">
        <v>1290</v>
      </c>
      <c r="B1325" s="19"/>
      <c r="C1325" s="148"/>
      <c r="D1325" s="148"/>
      <c r="E1325" s="148"/>
      <c r="F1325" s="101"/>
      <c r="G1325" s="10"/>
      <c r="H1325" s="101"/>
      <c r="I1325" s="148"/>
      <c r="J1325" s="10"/>
      <c r="K1325" s="10"/>
      <c r="L1325" s="19"/>
      <c r="M1325" s="13"/>
      <c r="N1325" s="249"/>
      <c r="O1325" s="19"/>
      <c r="P1325" s="19"/>
      <c r="Q1325" s="19"/>
      <c r="R1325" s="13"/>
      <c r="S1325" s="19"/>
      <c r="T1325" s="219">
        <f t="shared" si="393"/>
        <v>0</v>
      </c>
      <c r="U1325" s="19"/>
      <c r="V1325" s="19"/>
      <c r="W1325" s="19"/>
      <c r="X1325" s="19"/>
      <c r="Y1325" s="19"/>
      <c r="Z1325" s="605">
        <f t="shared" si="391"/>
        <v>0</v>
      </c>
      <c r="AA1325" s="19"/>
      <c r="AB1325" s="605">
        <f t="shared" si="392"/>
        <v>0</v>
      </c>
      <c r="AC1325" s="607">
        <f t="shared" si="394"/>
        <v>0</v>
      </c>
      <c r="AD1325" s="19"/>
      <c r="AE1325" s="19"/>
    </row>
    <row r="1326" spans="1:31" x14ac:dyDescent="0.25">
      <c r="A1326" s="699">
        <v>1291</v>
      </c>
      <c r="B1326" s="19"/>
      <c r="C1326" s="148"/>
      <c r="D1326" s="148"/>
      <c r="E1326" s="148"/>
      <c r="F1326" s="101"/>
      <c r="G1326" s="10"/>
      <c r="H1326" s="101"/>
      <c r="I1326" s="148"/>
      <c r="J1326" s="10"/>
      <c r="K1326" s="10"/>
      <c r="L1326" s="19"/>
      <c r="M1326" s="13"/>
      <c r="N1326" s="249"/>
      <c r="O1326" s="19"/>
      <c r="P1326" s="19"/>
      <c r="Q1326" s="19"/>
      <c r="R1326" s="13"/>
      <c r="S1326" s="19"/>
      <c r="T1326" s="219">
        <f t="shared" si="393"/>
        <v>0</v>
      </c>
      <c r="U1326" s="19"/>
      <c r="V1326" s="19"/>
      <c r="W1326" s="19"/>
      <c r="X1326" s="19"/>
      <c r="Y1326" s="19"/>
      <c r="Z1326" s="605">
        <f t="shared" si="391"/>
        <v>0</v>
      </c>
      <c r="AA1326" s="19"/>
      <c r="AB1326" s="605">
        <f t="shared" si="392"/>
        <v>0</v>
      </c>
      <c r="AC1326" s="607">
        <f t="shared" si="394"/>
        <v>0</v>
      </c>
      <c r="AD1326" s="19"/>
      <c r="AE1326" s="19"/>
    </row>
    <row r="1327" spans="1:31" x14ac:dyDescent="0.25">
      <c r="A1327" s="311">
        <v>1292</v>
      </c>
      <c r="B1327" s="19"/>
      <c r="C1327" s="148"/>
      <c r="D1327" s="148"/>
      <c r="E1327" s="148"/>
      <c r="F1327" s="101"/>
      <c r="G1327" s="10"/>
      <c r="H1327" s="101"/>
      <c r="I1327" s="148"/>
      <c r="J1327" s="10"/>
      <c r="K1327" s="10"/>
      <c r="L1327" s="19"/>
      <c r="M1327" s="13"/>
      <c r="N1327" s="249"/>
      <c r="O1327" s="19"/>
      <c r="P1327" s="19"/>
      <c r="Q1327" s="19"/>
      <c r="R1327" s="13"/>
      <c r="S1327" s="19"/>
      <c r="T1327" s="219">
        <f t="shared" si="393"/>
        <v>0</v>
      </c>
      <c r="U1327" s="19"/>
      <c r="V1327" s="19"/>
      <c r="W1327" s="19"/>
      <c r="X1327" s="19"/>
      <c r="Y1327" s="19"/>
      <c r="Z1327" s="605">
        <f t="shared" si="391"/>
        <v>0</v>
      </c>
      <c r="AA1327" s="19"/>
      <c r="AB1327" s="605">
        <f t="shared" si="392"/>
        <v>0</v>
      </c>
      <c r="AC1327" s="607">
        <f t="shared" si="394"/>
        <v>0</v>
      </c>
      <c r="AD1327" s="19"/>
      <c r="AE1327" s="19"/>
    </row>
    <row r="1328" spans="1:31" x14ac:dyDescent="0.25">
      <c r="A1328" s="113">
        <v>1293</v>
      </c>
      <c r="B1328" s="19"/>
      <c r="C1328" s="148"/>
      <c r="D1328" s="148"/>
      <c r="E1328" s="148"/>
      <c r="F1328" s="101"/>
      <c r="G1328" s="10"/>
      <c r="H1328" s="101"/>
      <c r="I1328" s="148"/>
      <c r="J1328" s="10"/>
      <c r="K1328" s="10"/>
      <c r="L1328" s="19"/>
      <c r="M1328" s="13"/>
      <c r="N1328" s="249"/>
      <c r="O1328" s="19"/>
      <c r="P1328" s="19"/>
      <c r="Q1328" s="19"/>
      <c r="R1328" s="13"/>
      <c r="S1328" s="19"/>
      <c r="T1328" s="219">
        <f t="shared" si="393"/>
        <v>0</v>
      </c>
      <c r="U1328" s="19"/>
      <c r="V1328" s="19"/>
      <c r="W1328" s="19"/>
      <c r="X1328" s="19"/>
      <c r="Y1328" s="19"/>
      <c r="Z1328" s="605">
        <f t="shared" si="391"/>
        <v>0</v>
      </c>
      <c r="AA1328" s="19"/>
      <c r="AB1328" s="605">
        <f t="shared" si="392"/>
        <v>0</v>
      </c>
      <c r="AC1328" s="607">
        <f t="shared" si="394"/>
        <v>0</v>
      </c>
      <c r="AD1328" s="19"/>
      <c r="AE1328" s="19"/>
    </row>
    <row r="1329" spans="1:31" x14ac:dyDescent="0.25">
      <c r="A1329" s="699">
        <v>1294</v>
      </c>
      <c r="B1329" s="19"/>
      <c r="C1329" s="148"/>
      <c r="D1329" s="148"/>
      <c r="E1329" s="148"/>
      <c r="F1329" s="101"/>
      <c r="G1329" s="10"/>
      <c r="H1329" s="101"/>
      <c r="I1329" s="148"/>
      <c r="J1329" s="10"/>
      <c r="K1329" s="10"/>
      <c r="L1329" s="19"/>
      <c r="M1329" s="13"/>
      <c r="N1329" s="249"/>
      <c r="O1329" s="19"/>
      <c r="P1329" s="19"/>
      <c r="Q1329" s="19"/>
      <c r="R1329" s="13"/>
      <c r="S1329" s="19"/>
      <c r="T1329" s="219">
        <f t="shared" si="393"/>
        <v>0</v>
      </c>
      <c r="U1329" s="19"/>
      <c r="V1329" s="19"/>
      <c r="W1329" s="19"/>
      <c r="X1329" s="19"/>
      <c r="Y1329" s="19"/>
      <c r="Z1329" s="605">
        <f t="shared" si="391"/>
        <v>0</v>
      </c>
      <c r="AA1329" s="19"/>
      <c r="AB1329" s="605">
        <f t="shared" si="392"/>
        <v>0</v>
      </c>
      <c r="AC1329" s="607">
        <f t="shared" si="394"/>
        <v>0</v>
      </c>
      <c r="AD1329" s="19"/>
      <c r="AE1329" s="19"/>
    </row>
    <row r="1330" spans="1:31" x14ac:dyDescent="0.25">
      <c r="A1330" s="311">
        <v>1295</v>
      </c>
      <c r="B1330" s="19"/>
      <c r="C1330" s="148"/>
      <c r="D1330" s="148"/>
      <c r="E1330" s="148"/>
      <c r="F1330" s="101"/>
      <c r="G1330" s="10"/>
      <c r="H1330" s="101"/>
      <c r="I1330" s="148"/>
      <c r="J1330" s="10"/>
      <c r="K1330" s="10"/>
      <c r="L1330" s="19"/>
      <c r="M1330" s="13"/>
      <c r="N1330" s="249"/>
      <c r="O1330" s="19"/>
      <c r="P1330" s="19"/>
      <c r="Q1330" s="19"/>
      <c r="R1330" s="13"/>
      <c r="S1330" s="19"/>
      <c r="T1330" s="219">
        <f t="shared" si="393"/>
        <v>0</v>
      </c>
      <c r="U1330" s="19"/>
      <c r="V1330" s="19"/>
      <c r="W1330" s="19"/>
      <c r="X1330" s="19"/>
      <c r="Y1330" s="19"/>
      <c r="Z1330" s="605">
        <f t="shared" si="391"/>
        <v>0</v>
      </c>
      <c r="AA1330" s="19"/>
      <c r="AB1330" s="605">
        <f t="shared" si="392"/>
        <v>0</v>
      </c>
      <c r="AC1330" s="607">
        <f t="shared" si="394"/>
        <v>0</v>
      </c>
      <c r="AD1330" s="19"/>
      <c r="AE1330" s="19"/>
    </row>
    <row r="1331" spans="1:31" x14ac:dyDescent="0.25">
      <c r="A1331" s="113">
        <v>1296</v>
      </c>
      <c r="B1331" s="19"/>
      <c r="C1331" s="148"/>
      <c r="D1331" s="148"/>
      <c r="E1331" s="148"/>
      <c r="F1331" s="101"/>
      <c r="G1331" s="10"/>
      <c r="H1331" s="101"/>
      <c r="I1331" s="148"/>
      <c r="J1331" s="10"/>
      <c r="K1331" s="10"/>
      <c r="L1331" s="19"/>
      <c r="M1331" s="13"/>
      <c r="N1331" s="249"/>
      <c r="O1331" s="19"/>
      <c r="P1331" s="19"/>
      <c r="Q1331" s="19"/>
      <c r="R1331" s="13"/>
      <c r="S1331" s="19"/>
      <c r="T1331" s="219">
        <f t="shared" si="393"/>
        <v>0</v>
      </c>
      <c r="U1331" s="19"/>
      <c r="V1331" s="19"/>
      <c r="W1331" s="19"/>
      <c r="X1331" s="19"/>
      <c r="Y1331" s="19"/>
      <c r="Z1331" s="605">
        <f t="shared" si="391"/>
        <v>0</v>
      </c>
      <c r="AA1331" s="19"/>
      <c r="AB1331" s="605">
        <f t="shared" si="392"/>
        <v>0</v>
      </c>
      <c r="AC1331" s="607">
        <f t="shared" si="394"/>
        <v>0</v>
      </c>
      <c r="AD1331" s="19"/>
      <c r="AE1331" s="19"/>
    </row>
    <row r="1332" spans="1:31" x14ac:dyDescent="0.25">
      <c r="A1332" s="699">
        <v>1297</v>
      </c>
      <c r="B1332" s="19"/>
      <c r="C1332" s="148"/>
      <c r="D1332" s="148"/>
      <c r="E1332" s="148"/>
      <c r="F1332" s="101"/>
      <c r="G1332" s="10"/>
      <c r="H1332" s="101"/>
      <c r="I1332" s="148"/>
      <c r="J1332" s="10"/>
      <c r="K1332" s="10"/>
      <c r="L1332" s="19"/>
      <c r="M1332" s="13"/>
      <c r="N1332" s="249"/>
      <c r="O1332" s="19"/>
      <c r="P1332" s="19"/>
      <c r="Q1332" s="19"/>
      <c r="R1332" s="13"/>
      <c r="S1332" s="19"/>
      <c r="T1332" s="219">
        <f t="shared" si="393"/>
        <v>0</v>
      </c>
      <c r="U1332" s="19"/>
      <c r="V1332" s="19"/>
      <c r="W1332" s="19"/>
      <c r="X1332" s="19"/>
      <c r="Y1332" s="19"/>
      <c r="Z1332" s="605">
        <f t="shared" si="391"/>
        <v>0</v>
      </c>
      <c r="AA1332" s="19"/>
      <c r="AB1332" s="605">
        <f t="shared" si="392"/>
        <v>0</v>
      </c>
      <c r="AC1332" s="607">
        <f t="shared" si="394"/>
        <v>0</v>
      </c>
      <c r="AD1332" s="19"/>
      <c r="AE1332" s="19"/>
    </row>
  </sheetData>
  <protectedRanges>
    <protectedRange sqref="I5 B5:E5 N5 I7" name="NHAP_DL_10_1_2_34_9"/>
    <protectedRange sqref="L6" name="NHAP_DL_10_1_2_34_9_1_1"/>
    <protectedRange sqref="L10" name="NHAP_DL_10_1_2_34_9_1_1_1"/>
  </protectedRanges>
  <autoFilter ref="A3:AF1332"/>
  <conditionalFormatting sqref="P3">
    <cfRule type="cellIs" dxfId="0" priority="1" stopIfTrue="1" operator="equal">
      <formula>"Gia hạn"</formula>
    </cfRule>
  </conditionalFormatting>
  <dataValidations count="3">
    <dataValidation type="list" allowBlank="1" showInputMessage="1" showErrorMessage="1" sqref="M5 JJ5 TF5 ADB5 AMX5 AWT5 BGP5 BQL5 CAH5 CKD5 CTZ5 DDV5 DNR5 DXN5 EHJ5 ERF5 FBB5 FKX5 FUT5 GEP5 GOL5 GYH5 HID5 HRZ5 IBV5 ILR5 IVN5 JFJ5 JPF5 JZB5 KIX5 KST5 LCP5 LML5 LWH5 MGD5 MPZ5 MZV5 NJR5 NTN5 ODJ5 ONF5 OXB5 PGX5 PQT5 QAP5 QKL5 QUH5 RED5 RNZ5 RXV5 SHR5 SRN5 TBJ5 TLF5 TVB5 UEX5 UOT5 UYP5 VIL5 VSH5 WCD5 WLZ5 WVV5 M65575 JJ65575 TF65575 ADB65575 AMX65575 AWT65575 BGP65575 BQL65575 CAH65575 CKD65575 CTZ65575 DDV65575 DNR65575 DXN65575 EHJ65575 ERF65575 FBB65575 FKX65575 FUT65575 GEP65575 GOL65575 GYH65575 HID65575 HRZ65575 IBV65575 ILR65575 IVN65575 JFJ65575 JPF65575 JZB65575 KIX65575 KST65575 LCP65575 LML65575 LWH65575 MGD65575 MPZ65575 MZV65575 NJR65575 NTN65575 ODJ65575 ONF65575 OXB65575 PGX65575 PQT65575 QAP65575 QKL65575 QUH65575 RED65575 RNZ65575 RXV65575 SHR65575 SRN65575 TBJ65575 TLF65575 TVB65575 UEX65575 UOT65575 UYP65575 VIL65575 VSH65575 WCD65575 WLZ65575 WVV65575 M131111 JJ131111 TF131111 ADB131111 AMX131111 AWT131111 BGP131111 BQL131111 CAH131111 CKD131111 CTZ131111 DDV131111 DNR131111 DXN131111 EHJ131111 ERF131111 FBB131111 FKX131111 FUT131111 GEP131111 GOL131111 GYH131111 HID131111 HRZ131111 IBV131111 ILR131111 IVN131111 JFJ131111 JPF131111 JZB131111 KIX131111 KST131111 LCP131111 LML131111 LWH131111 MGD131111 MPZ131111 MZV131111 NJR131111 NTN131111 ODJ131111 ONF131111 OXB131111 PGX131111 PQT131111 QAP131111 QKL131111 QUH131111 RED131111 RNZ131111 RXV131111 SHR131111 SRN131111 TBJ131111 TLF131111 TVB131111 UEX131111 UOT131111 UYP131111 VIL131111 VSH131111 WCD131111 WLZ131111 WVV131111 M196647 JJ196647 TF196647 ADB196647 AMX196647 AWT196647 BGP196647 BQL196647 CAH196647 CKD196647 CTZ196647 DDV196647 DNR196647 DXN196647 EHJ196647 ERF196647 FBB196647 FKX196647 FUT196647 GEP196647 GOL196647 GYH196647 HID196647 HRZ196647 IBV196647 ILR196647 IVN196647 JFJ196647 JPF196647 JZB196647 KIX196647 KST196647 LCP196647 LML196647 LWH196647 MGD196647 MPZ196647 MZV196647 NJR196647 NTN196647 ODJ196647 ONF196647 OXB196647 PGX196647 PQT196647 QAP196647 QKL196647 QUH196647 RED196647 RNZ196647 RXV196647 SHR196647 SRN196647 TBJ196647 TLF196647 TVB196647 UEX196647 UOT196647 UYP196647 VIL196647 VSH196647 WCD196647 WLZ196647 WVV196647 M262183 JJ262183 TF262183 ADB262183 AMX262183 AWT262183 BGP262183 BQL262183 CAH262183 CKD262183 CTZ262183 DDV262183 DNR262183 DXN262183 EHJ262183 ERF262183 FBB262183 FKX262183 FUT262183 GEP262183 GOL262183 GYH262183 HID262183 HRZ262183 IBV262183 ILR262183 IVN262183 JFJ262183 JPF262183 JZB262183 KIX262183 KST262183 LCP262183 LML262183 LWH262183 MGD262183 MPZ262183 MZV262183 NJR262183 NTN262183 ODJ262183 ONF262183 OXB262183 PGX262183 PQT262183 QAP262183 QKL262183 QUH262183 RED262183 RNZ262183 RXV262183 SHR262183 SRN262183 TBJ262183 TLF262183 TVB262183 UEX262183 UOT262183 UYP262183 VIL262183 VSH262183 WCD262183 WLZ262183 WVV262183 M327719 JJ327719 TF327719 ADB327719 AMX327719 AWT327719 BGP327719 BQL327719 CAH327719 CKD327719 CTZ327719 DDV327719 DNR327719 DXN327719 EHJ327719 ERF327719 FBB327719 FKX327719 FUT327719 GEP327719 GOL327719 GYH327719 HID327719 HRZ327719 IBV327719 ILR327719 IVN327719 JFJ327719 JPF327719 JZB327719 KIX327719 KST327719 LCP327719 LML327719 LWH327719 MGD327719 MPZ327719 MZV327719 NJR327719 NTN327719 ODJ327719 ONF327719 OXB327719 PGX327719 PQT327719 QAP327719 QKL327719 QUH327719 RED327719 RNZ327719 RXV327719 SHR327719 SRN327719 TBJ327719 TLF327719 TVB327719 UEX327719 UOT327719 UYP327719 VIL327719 VSH327719 WCD327719 WLZ327719 WVV327719 M393255 JJ393255 TF393255 ADB393255 AMX393255 AWT393255 BGP393255 BQL393255 CAH393255 CKD393255 CTZ393255 DDV393255 DNR393255 DXN393255 EHJ393255 ERF393255 FBB393255 FKX393255 FUT393255 GEP393255 GOL393255 GYH393255 HID393255 HRZ393255 IBV393255 ILR393255 IVN393255 JFJ393255 JPF393255 JZB393255 KIX393255 KST393255 LCP393255 LML393255 LWH393255 MGD393255 MPZ393255 MZV393255 NJR393255 NTN393255 ODJ393255 ONF393255 OXB393255 PGX393255 PQT393255 QAP393255 QKL393255 QUH393255 RED393255 RNZ393255 RXV393255 SHR393255 SRN393255 TBJ393255 TLF393255 TVB393255 UEX393255 UOT393255 UYP393255 VIL393255 VSH393255 WCD393255 WLZ393255 WVV393255 M458791 JJ458791 TF458791 ADB458791 AMX458791 AWT458791 BGP458791 BQL458791 CAH458791 CKD458791 CTZ458791 DDV458791 DNR458791 DXN458791 EHJ458791 ERF458791 FBB458791 FKX458791 FUT458791 GEP458791 GOL458791 GYH458791 HID458791 HRZ458791 IBV458791 ILR458791 IVN458791 JFJ458791 JPF458791 JZB458791 KIX458791 KST458791 LCP458791 LML458791 LWH458791 MGD458791 MPZ458791 MZV458791 NJR458791 NTN458791 ODJ458791 ONF458791 OXB458791 PGX458791 PQT458791 QAP458791 QKL458791 QUH458791 RED458791 RNZ458791 RXV458791 SHR458791 SRN458791 TBJ458791 TLF458791 TVB458791 UEX458791 UOT458791 UYP458791 VIL458791 VSH458791 WCD458791 WLZ458791 WVV458791 M524327 JJ524327 TF524327 ADB524327 AMX524327 AWT524327 BGP524327 BQL524327 CAH524327 CKD524327 CTZ524327 DDV524327 DNR524327 DXN524327 EHJ524327 ERF524327 FBB524327 FKX524327 FUT524327 GEP524327 GOL524327 GYH524327 HID524327 HRZ524327 IBV524327 ILR524327 IVN524327 JFJ524327 JPF524327 JZB524327 KIX524327 KST524327 LCP524327 LML524327 LWH524327 MGD524327 MPZ524327 MZV524327 NJR524327 NTN524327 ODJ524327 ONF524327 OXB524327 PGX524327 PQT524327 QAP524327 QKL524327 QUH524327 RED524327 RNZ524327 RXV524327 SHR524327 SRN524327 TBJ524327 TLF524327 TVB524327 UEX524327 UOT524327 UYP524327 VIL524327 VSH524327 WCD524327 WLZ524327 WVV524327 M589863 JJ589863 TF589863 ADB589863 AMX589863 AWT589863 BGP589863 BQL589863 CAH589863 CKD589863 CTZ589863 DDV589863 DNR589863 DXN589863 EHJ589863 ERF589863 FBB589863 FKX589863 FUT589863 GEP589863 GOL589863 GYH589863 HID589863 HRZ589863 IBV589863 ILR589863 IVN589863 JFJ589863 JPF589863 JZB589863 KIX589863 KST589863 LCP589863 LML589863 LWH589863 MGD589863 MPZ589863 MZV589863 NJR589863 NTN589863 ODJ589863 ONF589863 OXB589863 PGX589863 PQT589863 QAP589863 QKL589863 QUH589863 RED589863 RNZ589863 RXV589863 SHR589863 SRN589863 TBJ589863 TLF589863 TVB589863 UEX589863 UOT589863 UYP589863 VIL589863 VSH589863 WCD589863 WLZ589863 WVV589863 M655399 JJ655399 TF655399 ADB655399 AMX655399 AWT655399 BGP655399 BQL655399 CAH655399 CKD655399 CTZ655399 DDV655399 DNR655399 DXN655399 EHJ655399 ERF655399 FBB655399 FKX655399 FUT655399 GEP655399 GOL655399 GYH655399 HID655399 HRZ655399 IBV655399 ILR655399 IVN655399 JFJ655399 JPF655399 JZB655399 KIX655399 KST655399 LCP655399 LML655399 LWH655399 MGD655399 MPZ655399 MZV655399 NJR655399 NTN655399 ODJ655399 ONF655399 OXB655399 PGX655399 PQT655399 QAP655399 QKL655399 QUH655399 RED655399 RNZ655399 RXV655399 SHR655399 SRN655399 TBJ655399 TLF655399 TVB655399 UEX655399 UOT655399 UYP655399 VIL655399 VSH655399 WCD655399 WLZ655399 WVV655399 M720935 JJ720935 TF720935 ADB720935 AMX720935 AWT720935 BGP720935 BQL720935 CAH720935 CKD720935 CTZ720935 DDV720935 DNR720935 DXN720935 EHJ720935 ERF720935 FBB720935 FKX720935 FUT720935 GEP720935 GOL720935 GYH720935 HID720935 HRZ720935 IBV720935 ILR720935 IVN720935 JFJ720935 JPF720935 JZB720935 KIX720935 KST720935 LCP720935 LML720935 LWH720935 MGD720935 MPZ720935 MZV720935 NJR720935 NTN720935 ODJ720935 ONF720935 OXB720935 PGX720935 PQT720935 QAP720935 QKL720935 QUH720935 RED720935 RNZ720935 RXV720935 SHR720935 SRN720935 TBJ720935 TLF720935 TVB720935 UEX720935 UOT720935 UYP720935 VIL720935 VSH720935 WCD720935 WLZ720935 WVV720935 M786471 JJ786471 TF786471 ADB786471 AMX786471 AWT786471 BGP786471 BQL786471 CAH786471 CKD786471 CTZ786471 DDV786471 DNR786471 DXN786471 EHJ786471 ERF786471 FBB786471 FKX786471 FUT786471 GEP786471 GOL786471 GYH786471 HID786471 HRZ786471 IBV786471 ILR786471 IVN786471 JFJ786471 JPF786471 JZB786471 KIX786471 KST786471 LCP786471 LML786471 LWH786471 MGD786471 MPZ786471 MZV786471 NJR786471 NTN786471 ODJ786471 ONF786471 OXB786471 PGX786471 PQT786471 QAP786471 QKL786471 QUH786471 RED786471 RNZ786471 RXV786471 SHR786471 SRN786471 TBJ786471 TLF786471 TVB786471 UEX786471 UOT786471 UYP786471 VIL786471 VSH786471 WCD786471 WLZ786471 WVV786471 M852007 JJ852007 TF852007 ADB852007 AMX852007 AWT852007 BGP852007 BQL852007 CAH852007 CKD852007 CTZ852007 DDV852007 DNR852007 DXN852007 EHJ852007 ERF852007 FBB852007 FKX852007 FUT852007 GEP852007 GOL852007 GYH852007 HID852007 HRZ852007 IBV852007 ILR852007 IVN852007 JFJ852007 JPF852007 JZB852007 KIX852007 KST852007 LCP852007 LML852007 LWH852007 MGD852007 MPZ852007 MZV852007 NJR852007 NTN852007 ODJ852007 ONF852007 OXB852007 PGX852007 PQT852007 QAP852007 QKL852007 QUH852007 RED852007 RNZ852007 RXV852007 SHR852007 SRN852007 TBJ852007 TLF852007 TVB852007 UEX852007 UOT852007 UYP852007 VIL852007 VSH852007 WCD852007 WLZ852007 WVV852007 M917543 JJ917543 TF917543 ADB917543 AMX917543 AWT917543 BGP917543 BQL917543 CAH917543 CKD917543 CTZ917543 DDV917543 DNR917543 DXN917543 EHJ917543 ERF917543 FBB917543 FKX917543 FUT917543 GEP917543 GOL917543 GYH917543 HID917543 HRZ917543 IBV917543 ILR917543 IVN917543 JFJ917543 JPF917543 JZB917543 KIX917543 KST917543 LCP917543 LML917543 LWH917543 MGD917543 MPZ917543 MZV917543 NJR917543 NTN917543 ODJ917543 ONF917543 OXB917543 PGX917543 PQT917543 QAP917543 QKL917543 QUH917543 RED917543 RNZ917543 RXV917543 SHR917543 SRN917543 TBJ917543 TLF917543 TVB917543 UEX917543 UOT917543 UYP917543 VIL917543 VSH917543 WCD917543 WLZ917543 WVV917543 M983079 JJ983079 TF983079 ADB983079 AMX983079 AWT983079 BGP983079 BQL983079 CAH983079 CKD983079 CTZ983079 DDV983079 DNR983079 DXN983079 EHJ983079 ERF983079 FBB983079 FKX983079 FUT983079 GEP983079 GOL983079 GYH983079 HID983079 HRZ983079 IBV983079 ILR983079 IVN983079 JFJ983079 JPF983079 JZB983079 KIX983079 KST983079 LCP983079 LML983079 LWH983079 MGD983079 MPZ983079 MZV983079 NJR983079 NTN983079 ODJ983079 ONF983079 OXB983079 PGX983079 PQT983079 QAP983079 QKL983079 QUH983079 RED983079 RNZ983079 RXV983079 SHR983079 SRN983079 TBJ983079 TLF983079 TVB983079 UEX983079 UOT983079 UYP983079 VIL983079 VSH983079 WCD983079 WLZ983079 WVV983079">
      <formula1>"Cấp mới, Gia hạn, Dùng thử"</formula1>
    </dataValidation>
    <dataValidation type="list" allowBlank="1" showInputMessage="1" showErrorMessage="1" sqref="WVT983089:WVT983094 JH15:JH23 TD15:TD23 ACZ15:ACZ23 AMV15:AMV23 AWR15:AWR23 BGN15:BGN23 BQJ15:BQJ23 CAF15:CAF23 CKB15:CKB23 CTX15:CTX23 DDT15:DDT23 DNP15:DNP23 DXL15:DXL23 EHH15:EHH23 ERD15:ERD23 FAZ15:FAZ23 FKV15:FKV23 FUR15:FUR23 GEN15:GEN23 GOJ15:GOJ23 GYF15:GYF23 HIB15:HIB23 HRX15:HRX23 IBT15:IBT23 ILP15:ILP23 IVL15:IVL23 JFH15:JFH23 JPD15:JPD23 JYZ15:JYZ23 KIV15:KIV23 KSR15:KSR23 LCN15:LCN23 LMJ15:LMJ23 LWF15:LWF23 MGB15:MGB23 MPX15:MPX23 MZT15:MZT23 NJP15:NJP23 NTL15:NTL23 ODH15:ODH23 OND15:OND23 OWZ15:OWZ23 PGV15:PGV23 PQR15:PQR23 QAN15:QAN23 QKJ15:QKJ23 QUF15:QUF23 REB15:REB23 RNX15:RNX23 RXT15:RXT23 SHP15:SHP23 SRL15:SRL23 TBH15:TBH23 TLD15:TLD23 TUZ15:TUZ23 UEV15:UEV23 UOR15:UOR23 UYN15:UYN23 VIJ15:VIJ23 VSF15:VSF23 WCB15:WCB23 WLX15:WLX23 WVT15:WVT23 K65585:K65590 JH65585:JH65590 TD65585:TD65590 ACZ65585:ACZ65590 AMV65585:AMV65590 AWR65585:AWR65590 BGN65585:BGN65590 BQJ65585:BQJ65590 CAF65585:CAF65590 CKB65585:CKB65590 CTX65585:CTX65590 DDT65585:DDT65590 DNP65585:DNP65590 DXL65585:DXL65590 EHH65585:EHH65590 ERD65585:ERD65590 FAZ65585:FAZ65590 FKV65585:FKV65590 FUR65585:FUR65590 GEN65585:GEN65590 GOJ65585:GOJ65590 GYF65585:GYF65590 HIB65585:HIB65590 HRX65585:HRX65590 IBT65585:IBT65590 ILP65585:ILP65590 IVL65585:IVL65590 JFH65585:JFH65590 JPD65585:JPD65590 JYZ65585:JYZ65590 KIV65585:KIV65590 KSR65585:KSR65590 LCN65585:LCN65590 LMJ65585:LMJ65590 LWF65585:LWF65590 MGB65585:MGB65590 MPX65585:MPX65590 MZT65585:MZT65590 NJP65585:NJP65590 NTL65585:NTL65590 ODH65585:ODH65590 OND65585:OND65590 OWZ65585:OWZ65590 PGV65585:PGV65590 PQR65585:PQR65590 QAN65585:QAN65590 QKJ65585:QKJ65590 QUF65585:QUF65590 REB65585:REB65590 RNX65585:RNX65590 RXT65585:RXT65590 SHP65585:SHP65590 SRL65585:SRL65590 TBH65585:TBH65590 TLD65585:TLD65590 TUZ65585:TUZ65590 UEV65585:UEV65590 UOR65585:UOR65590 UYN65585:UYN65590 VIJ65585:VIJ65590 VSF65585:VSF65590 WCB65585:WCB65590 WLX65585:WLX65590 WVT65585:WVT65590 K131121:K131126 JH131121:JH131126 TD131121:TD131126 ACZ131121:ACZ131126 AMV131121:AMV131126 AWR131121:AWR131126 BGN131121:BGN131126 BQJ131121:BQJ131126 CAF131121:CAF131126 CKB131121:CKB131126 CTX131121:CTX131126 DDT131121:DDT131126 DNP131121:DNP131126 DXL131121:DXL131126 EHH131121:EHH131126 ERD131121:ERD131126 FAZ131121:FAZ131126 FKV131121:FKV131126 FUR131121:FUR131126 GEN131121:GEN131126 GOJ131121:GOJ131126 GYF131121:GYF131126 HIB131121:HIB131126 HRX131121:HRX131126 IBT131121:IBT131126 ILP131121:ILP131126 IVL131121:IVL131126 JFH131121:JFH131126 JPD131121:JPD131126 JYZ131121:JYZ131126 KIV131121:KIV131126 KSR131121:KSR131126 LCN131121:LCN131126 LMJ131121:LMJ131126 LWF131121:LWF131126 MGB131121:MGB131126 MPX131121:MPX131126 MZT131121:MZT131126 NJP131121:NJP131126 NTL131121:NTL131126 ODH131121:ODH131126 OND131121:OND131126 OWZ131121:OWZ131126 PGV131121:PGV131126 PQR131121:PQR131126 QAN131121:QAN131126 QKJ131121:QKJ131126 QUF131121:QUF131126 REB131121:REB131126 RNX131121:RNX131126 RXT131121:RXT131126 SHP131121:SHP131126 SRL131121:SRL131126 TBH131121:TBH131126 TLD131121:TLD131126 TUZ131121:TUZ131126 UEV131121:UEV131126 UOR131121:UOR131126 UYN131121:UYN131126 VIJ131121:VIJ131126 VSF131121:VSF131126 WCB131121:WCB131126 WLX131121:WLX131126 WVT131121:WVT131126 K196657:K196662 JH196657:JH196662 TD196657:TD196662 ACZ196657:ACZ196662 AMV196657:AMV196662 AWR196657:AWR196662 BGN196657:BGN196662 BQJ196657:BQJ196662 CAF196657:CAF196662 CKB196657:CKB196662 CTX196657:CTX196662 DDT196657:DDT196662 DNP196657:DNP196662 DXL196657:DXL196662 EHH196657:EHH196662 ERD196657:ERD196662 FAZ196657:FAZ196662 FKV196657:FKV196662 FUR196657:FUR196662 GEN196657:GEN196662 GOJ196657:GOJ196662 GYF196657:GYF196662 HIB196657:HIB196662 HRX196657:HRX196662 IBT196657:IBT196662 ILP196657:ILP196662 IVL196657:IVL196662 JFH196657:JFH196662 JPD196657:JPD196662 JYZ196657:JYZ196662 KIV196657:KIV196662 KSR196657:KSR196662 LCN196657:LCN196662 LMJ196657:LMJ196662 LWF196657:LWF196662 MGB196657:MGB196662 MPX196657:MPX196662 MZT196657:MZT196662 NJP196657:NJP196662 NTL196657:NTL196662 ODH196657:ODH196662 OND196657:OND196662 OWZ196657:OWZ196662 PGV196657:PGV196662 PQR196657:PQR196662 QAN196657:QAN196662 QKJ196657:QKJ196662 QUF196657:QUF196662 REB196657:REB196662 RNX196657:RNX196662 RXT196657:RXT196662 SHP196657:SHP196662 SRL196657:SRL196662 TBH196657:TBH196662 TLD196657:TLD196662 TUZ196657:TUZ196662 UEV196657:UEV196662 UOR196657:UOR196662 UYN196657:UYN196662 VIJ196657:VIJ196662 VSF196657:VSF196662 WCB196657:WCB196662 WLX196657:WLX196662 WVT196657:WVT196662 K262193:K262198 JH262193:JH262198 TD262193:TD262198 ACZ262193:ACZ262198 AMV262193:AMV262198 AWR262193:AWR262198 BGN262193:BGN262198 BQJ262193:BQJ262198 CAF262193:CAF262198 CKB262193:CKB262198 CTX262193:CTX262198 DDT262193:DDT262198 DNP262193:DNP262198 DXL262193:DXL262198 EHH262193:EHH262198 ERD262193:ERD262198 FAZ262193:FAZ262198 FKV262193:FKV262198 FUR262193:FUR262198 GEN262193:GEN262198 GOJ262193:GOJ262198 GYF262193:GYF262198 HIB262193:HIB262198 HRX262193:HRX262198 IBT262193:IBT262198 ILP262193:ILP262198 IVL262193:IVL262198 JFH262193:JFH262198 JPD262193:JPD262198 JYZ262193:JYZ262198 KIV262193:KIV262198 KSR262193:KSR262198 LCN262193:LCN262198 LMJ262193:LMJ262198 LWF262193:LWF262198 MGB262193:MGB262198 MPX262193:MPX262198 MZT262193:MZT262198 NJP262193:NJP262198 NTL262193:NTL262198 ODH262193:ODH262198 OND262193:OND262198 OWZ262193:OWZ262198 PGV262193:PGV262198 PQR262193:PQR262198 QAN262193:QAN262198 QKJ262193:QKJ262198 QUF262193:QUF262198 REB262193:REB262198 RNX262193:RNX262198 RXT262193:RXT262198 SHP262193:SHP262198 SRL262193:SRL262198 TBH262193:TBH262198 TLD262193:TLD262198 TUZ262193:TUZ262198 UEV262193:UEV262198 UOR262193:UOR262198 UYN262193:UYN262198 VIJ262193:VIJ262198 VSF262193:VSF262198 WCB262193:WCB262198 WLX262193:WLX262198 WVT262193:WVT262198 K327729:K327734 JH327729:JH327734 TD327729:TD327734 ACZ327729:ACZ327734 AMV327729:AMV327734 AWR327729:AWR327734 BGN327729:BGN327734 BQJ327729:BQJ327734 CAF327729:CAF327734 CKB327729:CKB327734 CTX327729:CTX327734 DDT327729:DDT327734 DNP327729:DNP327734 DXL327729:DXL327734 EHH327729:EHH327734 ERD327729:ERD327734 FAZ327729:FAZ327734 FKV327729:FKV327734 FUR327729:FUR327734 GEN327729:GEN327734 GOJ327729:GOJ327734 GYF327729:GYF327734 HIB327729:HIB327734 HRX327729:HRX327734 IBT327729:IBT327734 ILP327729:ILP327734 IVL327729:IVL327734 JFH327729:JFH327734 JPD327729:JPD327734 JYZ327729:JYZ327734 KIV327729:KIV327734 KSR327729:KSR327734 LCN327729:LCN327734 LMJ327729:LMJ327734 LWF327729:LWF327734 MGB327729:MGB327734 MPX327729:MPX327734 MZT327729:MZT327734 NJP327729:NJP327734 NTL327729:NTL327734 ODH327729:ODH327734 OND327729:OND327734 OWZ327729:OWZ327734 PGV327729:PGV327734 PQR327729:PQR327734 QAN327729:QAN327734 QKJ327729:QKJ327734 QUF327729:QUF327734 REB327729:REB327734 RNX327729:RNX327734 RXT327729:RXT327734 SHP327729:SHP327734 SRL327729:SRL327734 TBH327729:TBH327734 TLD327729:TLD327734 TUZ327729:TUZ327734 UEV327729:UEV327734 UOR327729:UOR327734 UYN327729:UYN327734 VIJ327729:VIJ327734 VSF327729:VSF327734 WCB327729:WCB327734 WLX327729:WLX327734 WVT327729:WVT327734 K393265:K393270 JH393265:JH393270 TD393265:TD393270 ACZ393265:ACZ393270 AMV393265:AMV393270 AWR393265:AWR393270 BGN393265:BGN393270 BQJ393265:BQJ393270 CAF393265:CAF393270 CKB393265:CKB393270 CTX393265:CTX393270 DDT393265:DDT393270 DNP393265:DNP393270 DXL393265:DXL393270 EHH393265:EHH393270 ERD393265:ERD393270 FAZ393265:FAZ393270 FKV393265:FKV393270 FUR393265:FUR393270 GEN393265:GEN393270 GOJ393265:GOJ393270 GYF393265:GYF393270 HIB393265:HIB393270 HRX393265:HRX393270 IBT393265:IBT393270 ILP393265:ILP393270 IVL393265:IVL393270 JFH393265:JFH393270 JPD393265:JPD393270 JYZ393265:JYZ393270 KIV393265:KIV393270 KSR393265:KSR393270 LCN393265:LCN393270 LMJ393265:LMJ393270 LWF393265:LWF393270 MGB393265:MGB393270 MPX393265:MPX393270 MZT393265:MZT393270 NJP393265:NJP393270 NTL393265:NTL393270 ODH393265:ODH393270 OND393265:OND393270 OWZ393265:OWZ393270 PGV393265:PGV393270 PQR393265:PQR393270 QAN393265:QAN393270 QKJ393265:QKJ393270 QUF393265:QUF393270 REB393265:REB393270 RNX393265:RNX393270 RXT393265:RXT393270 SHP393265:SHP393270 SRL393265:SRL393270 TBH393265:TBH393270 TLD393265:TLD393270 TUZ393265:TUZ393270 UEV393265:UEV393270 UOR393265:UOR393270 UYN393265:UYN393270 VIJ393265:VIJ393270 VSF393265:VSF393270 WCB393265:WCB393270 WLX393265:WLX393270 WVT393265:WVT393270 K458801:K458806 JH458801:JH458806 TD458801:TD458806 ACZ458801:ACZ458806 AMV458801:AMV458806 AWR458801:AWR458806 BGN458801:BGN458806 BQJ458801:BQJ458806 CAF458801:CAF458806 CKB458801:CKB458806 CTX458801:CTX458806 DDT458801:DDT458806 DNP458801:DNP458806 DXL458801:DXL458806 EHH458801:EHH458806 ERD458801:ERD458806 FAZ458801:FAZ458806 FKV458801:FKV458806 FUR458801:FUR458806 GEN458801:GEN458806 GOJ458801:GOJ458806 GYF458801:GYF458806 HIB458801:HIB458806 HRX458801:HRX458806 IBT458801:IBT458806 ILP458801:ILP458806 IVL458801:IVL458806 JFH458801:JFH458806 JPD458801:JPD458806 JYZ458801:JYZ458806 KIV458801:KIV458806 KSR458801:KSR458806 LCN458801:LCN458806 LMJ458801:LMJ458806 LWF458801:LWF458806 MGB458801:MGB458806 MPX458801:MPX458806 MZT458801:MZT458806 NJP458801:NJP458806 NTL458801:NTL458806 ODH458801:ODH458806 OND458801:OND458806 OWZ458801:OWZ458806 PGV458801:PGV458806 PQR458801:PQR458806 QAN458801:QAN458806 QKJ458801:QKJ458806 QUF458801:QUF458806 REB458801:REB458806 RNX458801:RNX458806 RXT458801:RXT458806 SHP458801:SHP458806 SRL458801:SRL458806 TBH458801:TBH458806 TLD458801:TLD458806 TUZ458801:TUZ458806 UEV458801:UEV458806 UOR458801:UOR458806 UYN458801:UYN458806 VIJ458801:VIJ458806 VSF458801:VSF458806 WCB458801:WCB458806 WLX458801:WLX458806 WVT458801:WVT458806 K524337:K524342 JH524337:JH524342 TD524337:TD524342 ACZ524337:ACZ524342 AMV524337:AMV524342 AWR524337:AWR524342 BGN524337:BGN524342 BQJ524337:BQJ524342 CAF524337:CAF524342 CKB524337:CKB524342 CTX524337:CTX524342 DDT524337:DDT524342 DNP524337:DNP524342 DXL524337:DXL524342 EHH524337:EHH524342 ERD524337:ERD524342 FAZ524337:FAZ524342 FKV524337:FKV524342 FUR524337:FUR524342 GEN524337:GEN524342 GOJ524337:GOJ524342 GYF524337:GYF524342 HIB524337:HIB524342 HRX524337:HRX524342 IBT524337:IBT524342 ILP524337:ILP524342 IVL524337:IVL524342 JFH524337:JFH524342 JPD524337:JPD524342 JYZ524337:JYZ524342 KIV524337:KIV524342 KSR524337:KSR524342 LCN524337:LCN524342 LMJ524337:LMJ524342 LWF524337:LWF524342 MGB524337:MGB524342 MPX524337:MPX524342 MZT524337:MZT524342 NJP524337:NJP524342 NTL524337:NTL524342 ODH524337:ODH524342 OND524337:OND524342 OWZ524337:OWZ524342 PGV524337:PGV524342 PQR524337:PQR524342 QAN524337:QAN524342 QKJ524337:QKJ524342 QUF524337:QUF524342 REB524337:REB524342 RNX524337:RNX524342 RXT524337:RXT524342 SHP524337:SHP524342 SRL524337:SRL524342 TBH524337:TBH524342 TLD524337:TLD524342 TUZ524337:TUZ524342 UEV524337:UEV524342 UOR524337:UOR524342 UYN524337:UYN524342 VIJ524337:VIJ524342 VSF524337:VSF524342 WCB524337:WCB524342 WLX524337:WLX524342 WVT524337:WVT524342 K589873:K589878 JH589873:JH589878 TD589873:TD589878 ACZ589873:ACZ589878 AMV589873:AMV589878 AWR589873:AWR589878 BGN589873:BGN589878 BQJ589873:BQJ589878 CAF589873:CAF589878 CKB589873:CKB589878 CTX589873:CTX589878 DDT589873:DDT589878 DNP589873:DNP589878 DXL589873:DXL589878 EHH589873:EHH589878 ERD589873:ERD589878 FAZ589873:FAZ589878 FKV589873:FKV589878 FUR589873:FUR589878 GEN589873:GEN589878 GOJ589873:GOJ589878 GYF589873:GYF589878 HIB589873:HIB589878 HRX589873:HRX589878 IBT589873:IBT589878 ILP589873:ILP589878 IVL589873:IVL589878 JFH589873:JFH589878 JPD589873:JPD589878 JYZ589873:JYZ589878 KIV589873:KIV589878 KSR589873:KSR589878 LCN589873:LCN589878 LMJ589873:LMJ589878 LWF589873:LWF589878 MGB589873:MGB589878 MPX589873:MPX589878 MZT589873:MZT589878 NJP589873:NJP589878 NTL589873:NTL589878 ODH589873:ODH589878 OND589873:OND589878 OWZ589873:OWZ589878 PGV589873:PGV589878 PQR589873:PQR589878 QAN589873:QAN589878 QKJ589873:QKJ589878 QUF589873:QUF589878 REB589873:REB589878 RNX589873:RNX589878 RXT589873:RXT589878 SHP589873:SHP589878 SRL589873:SRL589878 TBH589873:TBH589878 TLD589873:TLD589878 TUZ589873:TUZ589878 UEV589873:UEV589878 UOR589873:UOR589878 UYN589873:UYN589878 VIJ589873:VIJ589878 VSF589873:VSF589878 WCB589873:WCB589878 WLX589873:WLX589878 WVT589873:WVT589878 K655409:K655414 JH655409:JH655414 TD655409:TD655414 ACZ655409:ACZ655414 AMV655409:AMV655414 AWR655409:AWR655414 BGN655409:BGN655414 BQJ655409:BQJ655414 CAF655409:CAF655414 CKB655409:CKB655414 CTX655409:CTX655414 DDT655409:DDT655414 DNP655409:DNP655414 DXL655409:DXL655414 EHH655409:EHH655414 ERD655409:ERD655414 FAZ655409:FAZ655414 FKV655409:FKV655414 FUR655409:FUR655414 GEN655409:GEN655414 GOJ655409:GOJ655414 GYF655409:GYF655414 HIB655409:HIB655414 HRX655409:HRX655414 IBT655409:IBT655414 ILP655409:ILP655414 IVL655409:IVL655414 JFH655409:JFH655414 JPD655409:JPD655414 JYZ655409:JYZ655414 KIV655409:KIV655414 KSR655409:KSR655414 LCN655409:LCN655414 LMJ655409:LMJ655414 LWF655409:LWF655414 MGB655409:MGB655414 MPX655409:MPX655414 MZT655409:MZT655414 NJP655409:NJP655414 NTL655409:NTL655414 ODH655409:ODH655414 OND655409:OND655414 OWZ655409:OWZ655414 PGV655409:PGV655414 PQR655409:PQR655414 QAN655409:QAN655414 QKJ655409:QKJ655414 QUF655409:QUF655414 REB655409:REB655414 RNX655409:RNX655414 RXT655409:RXT655414 SHP655409:SHP655414 SRL655409:SRL655414 TBH655409:TBH655414 TLD655409:TLD655414 TUZ655409:TUZ655414 UEV655409:UEV655414 UOR655409:UOR655414 UYN655409:UYN655414 VIJ655409:VIJ655414 VSF655409:VSF655414 WCB655409:WCB655414 WLX655409:WLX655414 WVT655409:WVT655414 K720945:K720950 JH720945:JH720950 TD720945:TD720950 ACZ720945:ACZ720950 AMV720945:AMV720950 AWR720945:AWR720950 BGN720945:BGN720950 BQJ720945:BQJ720950 CAF720945:CAF720950 CKB720945:CKB720950 CTX720945:CTX720950 DDT720945:DDT720950 DNP720945:DNP720950 DXL720945:DXL720950 EHH720945:EHH720950 ERD720945:ERD720950 FAZ720945:FAZ720950 FKV720945:FKV720950 FUR720945:FUR720950 GEN720945:GEN720950 GOJ720945:GOJ720950 GYF720945:GYF720950 HIB720945:HIB720950 HRX720945:HRX720950 IBT720945:IBT720950 ILP720945:ILP720950 IVL720945:IVL720950 JFH720945:JFH720950 JPD720945:JPD720950 JYZ720945:JYZ720950 KIV720945:KIV720950 KSR720945:KSR720950 LCN720945:LCN720950 LMJ720945:LMJ720950 LWF720945:LWF720950 MGB720945:MGB720950 MPX720945:MPX720950 MZT720945:MZT720950 NJP720945:NJP720950 NTL720945:NTL720950 ODH720945:ODH720950 OND720945:OND720950 OWZ720945:OWZ720950 PGV720945:PGV720950 PQR720945:PQR720950 QAN720945:QAN720950 QKJ720945:QKJ720950 QUF720945:QUF720950 REB720945:REB720950 RNX720945:RNX720950 RXT720945:RXT720950 SHP720945:SHP720950 SRL720945:SRL720950 TBH720945:TBH720950 TLD720945:TLD720950 TUZ720945:TUZ720950 UEV720945:UEV720950 UOR720945:UOR720950 UYN720945:UYN720950 VIJ720945:VIJ720950 VSF720945:VSF720950 WCB720945:WCB720950 WLX720945:WLX720950 WVT720945:WVT720950 K786481:K786486 JH786481:JH786486 TD786481:TD786486 ACZ786481:ACZ786486 AMV786481:AMV786486 AWR786481:AWR786486 BGN786481:BGN786486 BQJ786481:BQJ786486 CAF786481:CAF786486 CKB786481:CKB786486 CTX786481:CTX786486 DDT786481:DDT786486 DNP786481:DNP786486 DXL786481:DXL786486 EHH786481:EHH786486 ERD786481:ERD786486 FAZ786481:FAZ786486 FKV786481:FKV786486 FUR786481:FUR786486 GEN786481:GEN786486 GOJ786481:GOJ786486 GYF786481:GYF786486 HIB786481:HIB786486 HRX786481:HRX786486 IBT786481:IBT786486 ILP786481:ILP786486 IVL786481:IVL786486 JFH786481:JFH786486 JPD786481:JPD786486 JYZ786481:JYZ786486 KIV786481:KIV786486 KSR786481:KSR786486 LCN786481:LCN786486 LMJ786481:LMJ786486 LWF786481:LWF786486 MGB786481:MGB786486 MPX786481:MPX786486 MZT786481:MZT786486 NJP786481:NJP786486 NTL786481:NTL786486 ODH786481:ODH786486 OND786481:OND786486 OWZ786481:OWZ786486 PGV786481:PGV786486 PQR786481:PQR786486 QAN786481:QAN786486 QKJ786481:QKJ786486 QUF786481:QUF786486 REB786481:REB786486 RNX786481:RNX786486 RXT786481:RXT786486 SHP786481:SHP786486 SRL786481:SRL786486 TBH786481:TBH786486 TLD786481:TLD786486 TUZ786481:TUZ786486 UEV786481:UEV786486 UOR786481:UOR786486 UYN786481:UYN786486 VIJ786481:VIJ786486 VSF786481:VSF786486 WCB786481:WCB786486 WLX786481:WLX786486 WVT786481:WVT786486 K852017:K852022 JH852017:JH852022 TD852017:TD852022 ACZ852017:ACZ852022 AMV852017:AMV852022 AWR852017:AWR852022 BGN852017:BGN852022 BQJ852017:BQJ852022 CAF852017:CAF852022 CKB852017:CKB852022 CTX852017:CTX852022 DDT852017:DDT852022 DNP852017:DNP852022 DXL852017:DXL852022 EHH852017:EHH852022 ERD852017:ERD852022 FAZ852017:FAZ852022 FKV852017:FKV852022 FUR852017:FUR852022 GEN852017:GEN852022 GOJ852017:GOJ852022 GYF852017:GYF852022 HIB852017:HIB852022 HRX852017:HRX852022 IBT852017:IBT852022 ILP852017:ILP852022 IVL852017:IVL852022 JFH852017:JFH852022 JPD852017:JPD852022 JYZ852017:JYZ852022 KIV852017:KIV852022 KSR852017:KSR852022 LCN852017:LCN852022 LMJ852017:LMJ852022 LWF852017:LWF852022 MGB852017:MGB852022 MPX852017:MPX852022 MZT852017:MZT852022 NJP852017:NJP852022 NTL852017:NTL852022 ODH852017:ODH852022 OND852017:OND852022 OWZ852017:OWZ852022 PGV852017:PGV852022 PQR852017:PQR852022 QAN852017:QAN852022 QKJ852017:QKJ852022 QUF852017:QUF852022 REB852017:REB852022 RNX852017:RNX852022 RXT852017:RXT852022 SHP852017:SHP852022 SRL852017:SRL852022 TBH852017:TBH852022 TLD852017:TLD852022 TUZ852017:TUZ852022 UEV852017:UEV852022 UOR852017:UOR852022 UYN852017:UYN852022 VIJ852017:VIJ852022 VSF852017:VSF852022 WCB852017:WCB852022 WLX852017:WLX852022 WVT852017:WVT852022 K917553:K917558 JH917553:JH917558 TD917553:TD917558 ACZ917553:ACZ917558 AMV917553:AMV917558 AWR917553:AWR917558 BGN917553:BGN917558 BQJ917553:BQJ917558 CAF917553:CAF917558 CKB917553:CKB917558 CTX917553:CTX917558 DDT917553:DDT917558 DNP917553:DNP917558 DXL917553:DXL917558 EHH917553:EHH917558 ERD917553:ERD917558 FAZ917553:FAZ917558 FKV917553:FKV917558 FUR917553:FUR917558 GEN917553:GEN917558 GOJ917553:GOJ917558 GYF917553:GYF917558 HIB917553:HIB917558 HRX917553:HRX917558 IBT917553:IBT917558 ILP917553:ILP917558 IVL917553:IVL917558 JFH917553:JFH917558 JPD917553:JPD917558 JYZ917553:JYZ917558 KIV917553:KIV917558 KSR917553:KSR917558 LCN917553:LCN917558 LMJ917553:LMJ917558 LWF917553:LWF917558 MGB917553:MGB917558 MPX917553:MPX917558 MZT917553:MZT917558 NJP917553:NJP917558 NTL917553:NTL917558 ODH917553:ODH917558 OND917553:OND917558 OWZ917553:OWZ917558 PGV917553:PGV917558 PQR917553:PQR917558 QAN917553:QAN917558 QKJ917553:QKJ917558 QUF917553:QUF917558 REB917553:REB917558 RNX917553:RNX917558 RXT917553:RXT917558 SHP917553:SHP917558 SRL917553:SRL917558 TBH917553:TBH917558 TLD917553:TLD917558 TUZ917553:TUZ917558 UEV917553:UEV917558 UOR917553:UOR917558 UYN917553:UYN917558 VIJ917553:VIJ917558 VSF917553:VSF917558 WCB917553:WCB917558 WLX917553:WLX917558 WVT917553:WVT917558 K983089:K983094 JH983089:JH983094 TD983089:TD983094 ACZ983089:ACZ983094 AMV983089:AMV983094 AWR983089:AWR983094 BGN983089:BGN983094 BQJ983089:BQJ983094 CAF983089:CAF983094 CKB983089:CKB983094 CTX983089:CTX983094 DDT983089:DDT983094 DNP983089:DNP983094 DXL983089:DXL983094 EHH983089:EHH983094 ERD983089:ERD983094 FAZ983089:FAZ983094 FKV983089:FKV983094 FUR983089:FUR983094 GEN983089:GEN983094 GOJ983089:GOJ983094 GYF983089:GYF983094 HIB983089:HIB983094 HRX983089:HRX983094 IBT983089:IBT983094 ILP983089:ILP983094 IVL983089:IVL983094 JFH983089:JFH983094 JPD983089:JPD983094 JYZ983089:JYZ983094 KIV983089:KIV983094 KSR983089:KSR983094 LCN983089:LCN983094 LMJ983089:LMJ983094 LWF983089:LWF983094 MGB983089:MGB983094 MPX983089:MPX983094 MZT983089:MZT983094 NJP983089:NJP983094 NTL983089:NTL983094 ODH983089:ODH983094 OND983089:OND983094 OWZ983089:OWZ983094 PGV983089:PGV983094 PQR983089:PQR983094 QAN983089:QAN983094 QKJ983089:QKJ983094 QUF983089:QUF983094 REB983089:REB983094 RNX983089:RNX983094 RXT983089:RXT983094 SHP983089:SHP983094 SRL983089:SRL983094 TBH983089:TBH983094 TLD983089:TLD983094 TUZ983089:TUZ983094 UEV983089:UEV983094 UOR983089:UOR983094 UYN983089:UYN983094 VIJ983089:VIJ983094 VSF983089:VSF983094 WCB983089:WCB983094 WLX983089:WLX983094 K18:K19 K22:K23">
      <formula1>"NCMOI01,NCMOI02,NCMOI03,NCMOI01-BH,NCMOI02-BH,NCMOI03-BH,NCCD01,NCCD02,NCCD03,NCCD01-BH,NCCD02-BH,NCCD03-BH,NCGH01,NCGH02,NCGH03,NCGH01-BH,NCGH02-BH,NCGH03-BH,NCMTL"</formula1>
    </dataValidation>
    <dataValidation type="list" allowBlank="1" showInputMessage="1" showErrorMessage="1" promptTitle="nhà cung cấp,Uyên Việt,tự xuất" sqref="WVW983089:WVW1048576 N65585:N131108 JK65585:JK131108 TG65585:TG131108 ADC65585:ADC131108 AMY65585:AMY131108 AWU65585:AWU131108 BGQ65585:BGQ131108 BQM65585:BQM131108 CAI65585:CAI131108 CKE65585:CKE131108 CUA65585:CUA131108 DDW65585:DDW131108 DNS65585:DNS131108 DXO65585:DXO131108 EHK65585:EHK131108 ERG65585:ERG131108 FBC65585:FBC131108 FKY65585:FKY131108 FUU65585:FUU131108 GEQ65585:GEQ131108 GOM65585:GOM131108 GYI65585:GYI131108 HIE65585:HIE131108 HSA65585:HSA131108 IBW65585:IBW131108 ILS65585:ILS131108 IVO65585:IVO131108 JFK65585:JFK131108 JPG65585:JPG131108 JZC65585:JZC131108 KIY65585:KIY131108 KSU65585:KSU131108 LCQ65585:LCQ131108 LMM65585:LMM131108 LWI65585:LWI131108 MGE65585:MGE131108 MQA65585:MQA131108 MZW65585:MZW131108 NJS65585:NJS131108 NTO65585:NTO131108 ODK65585:ODK131108 ONG65585:ONG131108 OXC65585:OXC131108 PGY65585:PGY131108 PQU65585:PQU131108 QAQ65585:QAQ131108 QKM65585:QKM131108 QUI65585:QUI131108 REE65585:REE131108 ROA65585:ROA131108 RXW65585:RXW131108 SHS65585:SHS131108 SRO65585:SRO131108 TBK65585:TBK131108 TLG65585:TLG131108 TVC65585:TVC131108 UEY65585:UEY131108 UOU65585:UOU131108 UYQ65585:UYQ131108 VIM65585:VIM131108 VSI65585:VSI131108 WCE65585:WCE131108 WMA65585:WMA131108 WVW65585:WVW131108 N131121:N196644 JK131121:JK196644 TG131121:TG196644 ADC131121:ADC196644 AMY131121:AMY196644 AWU131121:AWU196644 BGQ131121:BGQ196644 BQM131121:BQM196644 CAI131121:CAI196644 CKE131121:CKE196644 CUA131121:CUA196644 DDW131121:DDW196644 DNS131121:DNS196644 DXO131121:DXO196644 EHK131121:EHK196644 ERG131121:ERG196644 FBC131121:FBC196644 FKY131121:FKY196644 FUU131121:FUU196644 GEQ131121:GEQ196644 GOM131121:GOM196644 GYI131121:GYI196644 HIE131121:HIE196644 HSA131121:HSA196644 IBW131121:IBW196644 ILS131121:ILS196644 IVO131121:IVO196644 JFK131121:JFK196644 JPG131121:JPG196644 JZC131121:JZC196644 KIY131121:KIY196644 KSU131121:KSU196644 LCQ131121:LCQ196644 LMM131121:LMM196644 LWI131121:LWI196644 MGE131121:MGE196644 MQA131121:MQA196644 MZW131121:MZW196644 NJS131121:NJS196644 NTO131121:NTO196644 ODK131121:ODK196644 ONG131121:ONG196644 OXC131121:OXC196644 PGY131121:PGY196644 PQU131121:PQU196644 QAQ131121:QAQ196644 QKM131121:QKM196644 QUI131121:QUI196644 REE131121:REE196644 ROA131121:ROA196644 RXW131121:RXW196644 SHS131121:SHS196644 SRO131121:SRO196644 TBK131121:TBK196644 TLG131121:TLG196644 TVC131121:TVC196644 UEY131121:UEY196644 UOU131121:UOU196644 UYQ131121:UYQ196644 VIM131121:VIM196644 VSI131121:VSI196644 WCE131121:WCE196644 WMA131121:WMA196644 WVW131121:WVW196644 N196657:N262180 JK196657:JK262180 TG196657:TG262180 ADC196657:ADC262180 AMY196657:AMY262180 AWU196657:AWU262180 BGQ196657:BGQ262180 BQM196657:BQM262180 CAI196657:CAI262180 CKE196657:CKE262180 CUA196657:CUA262180 DDW196657:DDW262180 DNS196657:DNS262180 DXO196657:DXO262180 EHK196657:EHK262180 ERG196657:ERG262180 FBC196657:FBC262180 FKY196657:FKY262180 FUU196657:FUU262180 GEQ196657:GEQ262180 GOM196657:GOM262180 GYI196657:GYI262180 HIE196657:HIE262180 HSA196657:HSA262180 IBW196657:IBW262180 ILS196657:ILS262180 IVO196657:IVO262180 JFK196657:JFK262180 JPG196657:JPG262180 JZC196657:JZC262180 KIY196657:KIY262180 KSU196657:KSU262180 LCQ196657:LCQ262180 LMM196657:LMM262180 LWI196657:LWI262180 MGE196657:MGE262180 MQA196657:MQA262180 MZW196657:MZW262180 NJS196657:NJS262180 NTO196657:NTO262180 ODK196657:ODK262180 ONG196657:ONG262180 OXC196657:OXC262180 PGY196657:PGY262180 PQU196657:PQU262180 QAQ196657:QAQ262180 QKM196657:QKM262180 QUI196657:QUI262180 REE196657:REE262180 ROA196657:ROA262180 RXW196657:RXW262180 SHS196657:SHS262180 SRO196657:SRO262180 TBK196657:TBK262180 TLG196657:TLG262180 TVC196657:TVC262180 UEY196657:UEY262180 UOU196657:UOU262180 UYQ196657:UYQ262180 VIM196657:VIM262180 VSI196657:VSI262180 WCE196657:WCE262180 WMA196657:WMA262180 WVW196657:WVW262180 N262193:N327716 JK262193:JK327716 TG262193:TG327716 ADC262193:ADC327716 AMY262193:AMY327716 AWU262193:AWU327716 BGQ262193:BGQ327716 BQM262193:BQM327716 CAI262193:CAI327716 CKE262193:CKE327716 CUA262193:CUA327716 DDW262193:DDW327716 DNS262193:DNS327716 DXO262193:DXO327716 EHK262193:EHK327716 ERG262193:ERG327716 FBC262193:FBC327716 FKY262193:FKY327716 FUU262193:FUU327716 GEQ262193:GEQ327716 GOM262193:GOM327716 GYI262193:GYI327716 HIE262193:HIE327716 HSA262193:HSA327716 IBW262193:IBW327716 ILS262193:ILS327716 IVO262193:IVO327716 JFK262193:JFK327716 JPG262193:JPG327716 JZC262193:JZC327716 KIY262193:KIY327716 KSU262193:KSU327716 LCQ262193:LCQ327716 LMM262193:LMM327716 LWI262193:LWI327716 MGE262193:MGE327716 MQA262193:MQA327716 MZW262193:MZW327716 NJS262193:NJS327716 NTO262193:NTO327716 ODK262193:ODK327716 ONG262193:ONG327716 OXC262193:OXC327716 PGY262193:PGY327716 PQU262193:PQU327716 QAQ262193:QAQ327716 QKM262193:QKM327716 QUI262193:QUI327716 REE262193:REE327716 ROA262193:ROA327716 RXW262193:RXW327716 SHS262193:SHS327716 SRO262193:SRO327716 TBK262193:TBK327716 TLG262193:TLG327716 TVC262193:TVC327716 UEY262193:UEY327716 UOU262193:UOU327716 UYQ262193:UYQ327716 VIM262193:VIM327716 VSI262193:VSI327716 WCE262193:WCE327716 WMA262193:WMA327716 WVW262193:WVW327716 N327729:N393252 JK327729:JK393252 TG327729:TG393252 ADC327729:ADC393252 AMY327729:AMY393252 AWU327729:AWU393252 BGQ327729:BGQ393252 BQM327729:BQM393252 CAI327729:CAI393252 CKE327729:CKE393252 CUA327729:CUA393252 DDW327729:DDW393252 DNS327729:DNS393252 DXO327729:DXO393252 EHK327729:EHK393252 ERG327729:ERG393252 FBC327729:FBC393252 FKY327729:FKY393252 FUU327729:FUU393252 GEQ327729:GEQ393252 GOM327729:GOM393252 GYI327729:GYI393252 HIE327729:HIE393252 HSA327729:HSA393252 IBW327729:IBW393252 ILS327729:ILS393252 IVO327729:IVO393252 JFK327729:JFK393252 JPG327729:JPG393252 JZC327729:JZC393252 KIY327729:KIY393252 KSU327729:KSU393252 LCQ327729:LCQ393252 LMM327729:LMM393252 LWI327729:LWI393252 MGE327729:MGE393252 MQA327729:MQA393252 MZW327729:MZW393252 NJS327729:NJS393252 NTO327729:NTO393252 ODK327729:ODK393252 ONG327729:ONG393252 OXC327729:OXC393252 PGY327729:PGY393252 PQU327729:PQU393252 QAQ327729:QAQ393252 QKM327729:QKM393252 QUI327729:QUI393252 REE327729:REE393252 ROA327729:ROA393252 RXW327729:RXW393252 SHS327729:SHS393252 SRO327729:SRO393252 TBK327729:TBK393252 TLG327729:TLG393252 TVC327729:TVC393252 UEY327729:UEY393252 UOU327729:UOU393252 UYQ327729:UYQ393252 VIM327729:VIM393252 VSI327729:VSI393252 WCE327729:WCE393252 WMA327729:WMA393252 WVW327729:WVW393252 N393265:N458788 JK393265:JK458788 TG393265:TG458788 ADC393265:ADC458788 AMY393265:AMY458788 AWU393265:AWU458788 BGQ393265:BGQ458788 BQM393265:BQM458788 CAI393265:CAI458788 CKE393265:CKE458788 CUA393265:CUA458788 DDW393265:DDW458788 DNS393265:DNS458788 DXO393265:DXO458788 EHK393265:EHK458788 ERG393265:ERG458788 FBC393265:FBC458788 FKY393265:FKY458788 FUU393265:FUU458788 GEQ393265:GEQ458788 GOM393265:GOM458788 GYI393265:GYI458788 HIE393265:HIE458788 HSA393265:HSA458788 IBW393265:IBW458788 ILS393265:ILS458788 IVO393265:IVO458788 JFK393265:JFK458788 JPG393265:JPG458788 JZC393265:JZC458788 KIY393265:KIY458788 KSU393265:KSU458788 LCQ393265:LCQ458788 LMM393265:LMM458788 LWI393265:LWI458788 MGE393265:MGE458788 MQA393265:MQA458788 MZW393265:MZW458788 NJS393265:NJS458788 NTO393265:NTO458788 ODK393265:ODK458788 ONG393265:ONG458788 OXC393265:OXC458788 PGY393265:PGY458788 PQU393265:PQU458788 QAQ393265:QAQ458788 QKM393265:QKM458788 QUI393265:QUI458788 REE393265:REE458788 ROA393265:ROA458788 RXW393265:RXW458788 SHS393265:SHS458788 SRO393265:SRO458788 TBK393265:TBK458788 TLG393265:TLG458788 TVC393265:TVC458788 UEY393265:UEY458788 UOU393265:UOU458788 UYQ393265:UYQ458788 VIM393265:VIM458788 VSI393265:VSI458788 WCE393265:WCE458788 WMA393265:WMA458788 WVW393265:WVW458788 N458801:N524324 JK458801:JK524324 TG458801:TG524324 ADC458801:ADC524324 AMY458801:AMY524324 AWU458801:AWU524324 BGQ458801:BGQ524324 BQM458801:BQM524324 CAI458801:CAI524324 CKE458801:CKE524324 CUA458801:CUA524324 DDW458801:DDW524324 DNS458801:DNS524324 DXO458801:DXO524324 EHK458801:EHK524324 ERG458801:ERG524324 FBC458801:FBC524324 FKY458801:FKY524324 FUU458801:FUU524324 GEQ458801:GEQ524324 GOM458801:GOM524324 GYI458801:GYI524324 HIE458801:HIE524324 HSA458801:HSA524324 IBW458801:IBW524324 ILS458801:ILS524324 IVO458801:IVO524324 JFK458801:JFK524324 JPG458801:JPG524324 JZC458801:JZC524324 KIY458801:KIY524324 KSU458801:KSU524324 LCQ458801:LCQ524324 LMM458801:LMM524324 LWI458801:LWI524324 MGE458801:MGE524324 MQA458801:MQA524324 MZW458801:MZW524324 NJS458801:NJS524324 NTO458801:NTO524324 ODK458801:ODK524324 ONG458801:ONG524324 OXC458801:OXC524324 PGY458801:PGY524324 PQU458801:PQU524324 QAQ458801:QAQ524324 QKM458801:QKM524324 QUI458801:QUI524324 REE458801:REE524324 ROA458801:ROA524324 RXW458801:RXW524324 SHS458801:SHS524324 SRO458801:SRO524324 TBK458801:TBK524324 TLG458801:TLG524324 TVC458801:TVC524324 UEY458801:UEY524324 UOU458801:UOU524324 UYQ458801:UYQ524324 VIM458801:VIM524324 VSI458801:VSI524324 WCE458801:WCE524324 WMA458801:WMA524324 WVW458801:WVW524324 N524337:N589860 JK524337:JK589860 TG524337:TG589860 ADC524337:ADC589860 AMY524337:AMY589860 AWU524337:AWU589860 BGQ524337:BGQ589860 BQM524337:BQM589860 CAI524337:CAI589860 CKE524337:CKE589860 CUA524337:CUA589860 DDW524337:DDW589860 DNS524337:DNS589860 DXO524337:DXO589860 EHK524337:EHK589860 ERG524337:ERG589860 FBC524337:FBC589860 FKY524337:FKY589860 FUU524337:FUU589860 GEQ524337:GEQ589860 GOM524337:GOM589860 GYI524337:GYI589860 HIE524337:HIE589860 HSA524337:HSA589860 IBW524337:IBW589860 ILS524337:ILS589860 IVO524337:IVO589860 JFK524337:JFK589860 JPG524337:JPG589860 JZC524337:JZC589860 KIY524337:KIY589860 KSU524337:KSU589860 LCQ524337:LCQ589860 LMM524337:LMM589860 LWI524337:LWI589860 MGE524337:MGE589860 MQA524337:MQA589860 MZW524337:MZW589860 NJS524337:NJS589860 NTO524337:NTO589860 ODK524337:ODK589860 ONG524337:ONG589860 OXC524337:OXC589860 PGY524337:PGY589860 PQU524337:PQU589860 QAQ524337:QAQ589860 QKM524337:QKM589860 QUI524337:QUI589860 REE524337:REE589860 ROA524337:ROA589860 RXW524337:RXW589860 SHS524337:SHS589860 SRO524337:SRO589860 TBK524337:TBK589860 TLG524337:TLG589860 TVC524337:TVC589860 UEY524337:UEY589860 UOU524337:UOU589860 UYQ524337:UYQ589860 VIM524337:VIM589860 VSI524337:VSI589860 WCE524337:WCE589860 WMA524337:WMA589860 WVW524337:WVW589860 N589873:N655396 JK589873:JK655396 TG589873:TG655396 ADC589873:ADC655396 AMY589873:AMY655396 AWU589873:AWU655396 BGQ589873:BGQ655396 BQM589873:BQM655396 CAI589873:CAI655396 CKE589873:CKE655396 CUA589873:CUA655396 DDW589873:DDW655396 DNS589873:DNS655396 DXO589873:DXO655396 EHK589873:EHK655396 ERG589873:ERG655396 FBC589873:FBC655396 FKY589873:FKY655396 FUU589873:FUU655396 GEQ589873:GEQ655396 GOM589873:GOM655396 GYI589873:GYI655396 HIE589873:HIE655396 HSA589873:HSA655396 IBW589873:IBW655396 ILS589873:ILS655396 IVO589873:IVO655396 JFK589873:JFK655396 JPG589873:JPG655396 JZC589873:JZC655396 KIY589873:KIY655396 KSU589873:KSU655396 LCQ589873:LCQ655396 LMM589873:LMM655396 LWI589873:LWI655396 MGE589873:MGE655396 MQA589873:MQA655396 MZW589873:MZW655396 NJS589873:NJS655396 NTO589873:NTO655396 ODK589873:ODK655396 ONG589873:ONG655396 OXC589873:OXC655396 PGY589873:PGY655396 PQU589873:PQU655396 QAQ589873:QAQ655396 QKM589873:QKM655396 QUI589873:QUI655396 REE589873:REE655396 ROA589873:ROA655396 RXW589873:RXW655396 SHS589873:SHS655396 SRO589873:SRO655396 TBK589873:TBK655396 TLG589873:TLG655396 TVC589873:TVC655396 UEY589873:UEY655396 UOU589873:UOU655396 UYQ589873:UYQ655396 VIM589873:VIM655396 VSI589873:VSI655396 WCE589873:WCE655396 WMA589873:WMA655396 WVW589873:WVW655396 N655409:N720932 JK655409:JK720932 TG655409:TG720932 ADC655409:ADC720932 AMY655409:AMY720932 AWU655409:AWU720932 BGQ655409:BGQ720932 BQM655409:BQM720932 CAI655409:CAI720932 CKE655409:CKE720932 CUA655409:CUA720932 DDW655409:DDW720932 DNS655409:DNS720932 DXO655409:DXO720932 EHK655409:EHK720932 ERG655409:ERG720932 FBC655409:FBC720932 FKY655409:FKY720932 FUU655409:FUU720932 GEQ655409:GEQ720932 GOM655409:GOM720932 GYI655409:GYI720932 HIE655409:HIE720932 HSA655409:HSA720932 IBW655409:IBW720932 ILS655409:ILS720932 IVO655409:IVO720932 JFK655409:JFK720932 JPG655409:JPG720932 JZC655409:JZC720932 KIY655409:KIY720932 KSU655409:KSU720932 LCQ655409:LCQ720932 LMM655409:LMM720932 LWI655409:LWI720932 MGE655409:MGE720932 MQA655409:MQA720932 MZW655409:MZW720932 NJS655409:NJS720932 NTO655409:NTO720932 ODK655409:ODK720932 ONG655409:ONG720932 OXC655409:OXC720932 PGY655409:PGY720932 PQU655409:PQU720932 QAQ655409:QAQ720932 QKM655409:QKM720932 QUI655409:QUI720932 REE655409:REE720932 ROA655409:ROA720932 RXW655409:RXW720932 SHS655409:SHS720932 SRO655409:SRO720932 TBK655409:TBK720932 TLG655409:TLG720932 TVC655409:TVC720932 UEY655409:UEY720932 UOU655409:UOU720932 UYQ655409:UYQ720932 VIM655409:VIM720932 VSI655409:VSI720932 WCE655409:WCE720932 WMA655409:WMA720932 WVW655409:WVW720932 N720945:N786468 JK720945:JK786468 TG720945:TG786468 ADC720945:ADC786468 AMY720945:AMY786468 AWU720945:AWU786468 BGQ720945:BGQ786468 BQM720945:BQM786468 CAI720945:CAI786468 CKE720945:CKE786468 CUA720945:CUA786468 DDW720945:DDW786468 DNS720945:DNS786468 DXO720945:DXO786468 EHK720945:EHK786468 ERG720945:ERG786468 FBC720945:FBC786468 FKY720945:FKY786468 FUU720945:FUU786468 GEQ720945:GEQ786468 GOM720945:GOM786468 GYI720945:GYI786468 HIE720945:HIE786468 HSA720945:HSA786468 IBW720945:IBW786468 ILS720945:ILS786468 IVO720945:IVO786468 JFK720945:JFK786468 JPG720945:JPG786468 JZC720945:JZC786468 KIY720945:KIY786468 KSU720945:KSU786468 LCQ720945:LCQ786468 LMM720945:LMM786468 LWI720945:LWI786468 MGE720945:MGE786468 MQA720945:MQA786468 MZW720945:MZW786468 NJS720945:NJS786468 NTO720945:NTO786468 ODK720945:ODK786468 ONG720945:ONG786468 OXC720945:OXC786468 PGY720945:PGY786468 PQU720945:PQU786468 QAQ720945:QAQ786468 QKM720945:QKM786468 QUI720945:QUI786468 REE720945:REE786468 ROA720945:ROA786468 RXW720945:RXW786468 SHS720945:SHS786468 SRO720945:SRO786468 TBK720945:TBK786468 TLG720945:TLG786468 TVC720945:TVC786468 UEY720945:UEY786468 UOU720945:UOU786468 UYQ720945:UYQ786468 VIM720945:VIM786468 VSI720945:VSI786468 WCE720945:WCE786468 WMA720945:WMA786468 WVW720945:WVW786468 N786481:N852004 JK786481:JK852004 TG786481:TG852004 ADC786481:ADC852004 AMY786481:AMY852004 AWU786481:AWU852004 BGQ786481:BGQ852004 BQM786481:BQM852004 CAI786481:CAI852004 CKE786481:CKE852004 CUA786481:CUA852004 DDW786481:DDW852004 DNS786481:DNS852004 DXO786481:DXO852004 EHK786481:EHK852004 ERG786481:ERG852004 FBC786481:FBC852004 FKY786481:FKY852004 FUU786481:FUU852004 GEQ786481:GEQ852004 GOM786481:GOM852004 GYI786481:GYI852004 HIE786481:HIE852004 HSA786481:HSA852004 IBW786481:IBW852004 ILS786481:ILS852004 IVO786481:IVO852004 JFK786481:JFK852004 JPG786481:JPG852004 JZC786481:JZC852004 KIY786481:KIY852004 KSU786481:KSU852004 LCQ786481:LCQ852004 LMM786481:LMM852004 LWI786481:LWI852004 MGE786481:MGE852004 MQA786481:MQA852004 MZW786481:MZW852004 NJS786481:NJS852004 NTO786481:NTO852004 ODK786481:ODK852004 ONG786481:ONG852004 OXC786481:OXC852004 PGY786481:PGY852004 PQU786481:PQU852004 QAQ786481:QAQ852004 QKM786481:QKM852004 QUI786481:QUI852004 REE786481:REE852004 ROA786481:ROA852004 RXW786481:RXW852004 SHS786481:SHS852004 SRO786481:SRO852004 TBK786481:TBK852004 TLG786481:TLG852004 TVC786481:TVC852004 UEY786481:UEY852004 UOU786481:UOU852004 UYQ786481:UYQ852004 VIM786481:VIM852004 VSI786481:VSI852004 WCE786481:WCE852004 WMA786481:WMA852004 WVW786481:WVW852004 N852017:N917540 JK852017:JK917540 TG852017:TG917540 ADC852017:ADC917540 AMY852017:AMY917540 AWU852017:AWU917540 BGQ852017:BGQ917540 BQM852017:BQM917540 CAI852017:CAI917540 CKE852017:CKE917540 CUA852017:CUA917540 DDW852017:DDW917540 DNS852017:DNS917540 DXO852017:DXO917540 EHK852017:EHK917540 ERG852017:ERG917540 FBC852017:FBC917540 FKY852017:FKY917540 FUU852017:FUU917540 GEQ852017:GEQ917540 GOM852017:GOM917540 GYI852017:GYI917540 HIE852017:HIE917540 HSA852017:HSA917540 IBW852017:IBW917540 ILS852017:ILS917540 IVO852017:IVO917540 JFK852017:JFK917540 JPG852017:JPG917540 JZC852017:JZC917540 KIY852017:KIY917540 KSU852017:KSU917540 LCQ852017:LCQ917540 LMM852017:LMM917540 LWI852017:LWI917540 MGE852017:MGE917540 MQA852017:MQA917540 MZW852017:MZW917540 NJS852017:NJS917540 NTO852017:NTO917540 ODK852017:ODK917540 ONG852017:ONG917540 OXC852017:OXC917540 PGY852017:PGY917540 PQU852017:PQU917540 QAQ852017:QAQ917540 QKM852017:QKM917540 QUI852017:QUI917540 REE852017:REE917540 ROA852017:ROA917540 RXW852017:RXW917540 SHS852017:SHS917540 SRO852017:SRO917540 TBK852017:TBK917540 TLG852017:TLG917540 TVC852017:TVC917540 UEY852017:UEY917540 UOU852017:UOU917540 UYQ852017:UYQ917540 VIM852017:VIM917540 VSI852017:VSI917540 WCE852017:WCE917540 WMA852017:WMA917540 WVW852017:WVW917540 N917553:N983076 JK917553:JK983076 TG917553:TG983076 ADC917553:ADC983076 AMY917553:AMY983076 AWU917553:AWU983076 BGQ917553:BGQ983076 BQM917553:BQM983076 CAI917553:CAI983076 CKE917553:CKE983076 CUA917553:CUA983076 DDW917553:DDW983076 DNS917553:DNS983076 DXO917553:DXO983076 EHK917553:EHK983076 ERG917553:ERG983076 FBC917553:FBC983076 FKY917553:FKY983076 FUU917553:FUU983076 GEQ917553:GEQ983076 GOM917553:GOM983076 GYI917553:GYI983076 HIE917553:HIE983076 HSA917553:HSA983076 IBW917553:IBW983076 ILS917553:ILS983076 IVO917553:IVO983076 JFK917553:JFK983076 JPG917553:JPG983076 JZC917553:JZC983076 KIY917553:KIY983076 KSU917553:KSU983076 LCQ917553:LCQ983076 LMM917553:LMM983076 LWI917553:LWI983076 MGE917553:MGE983076 MQA917553:MQA983076 MZW917553:MZW983076 NJS917553:NJS983076 NTO917553:NTO983076 ODK917553:ODK983076 ONG917553:ONG983076 OXC917553:OXC983076 PGY917553:PGY983076 PQU917553:PQU983076 QAQ917553:QAQ983076 QKM917553:QKM983076 QUI917553:QUI983076 REE917553:REE983076 ROA917553:ROA983076 RXW917553:RXW983076 SHS917553:SHS983076 SRO917553:SRO983076 TBK917553:TBK983076 TLG917553:TLG983076 TVC917553:TVC983076 UEY917553:UEY983076 UOU917553:UOU983076 UYQ917553:UYQ983076 VIM917553:VIM983076 VSI917553:VSI983076 WCE917553:WCE983076 WMA917553:WMA983076 WVW917553:WVW983076 N983089:N1048576 JK983089:JK1048576 TG983089:TG1048576 ADC983089:ADC1048576 AMY983089:AMY1048576 AWU983089:AWU1048576 BGQ983089:BGQ1048576 BQM983089:BQM1048576 CAI983089:CAI1048576 CKE983089:CKE1048576 CUA983089:CUA1048576 DDW983089:DDW1048576 DNS983089:DNS1048576 DXO983089:DXO1048576 EHK983089:EHK1048576 ERG983089:ERG1048576 FBC983089:FBC1048576 FKY983089:FKY1048576 FUU983089:FUU1048576 GEQ983089:GEQ1048576 GOM983089:GOM1048576 GYI983089:GYI1048576 HIE983089:HIE1048576 HSA983089:HSA1048576 IBW983089:IBW1048576 ILS983089:ILS1048576 IVO983089:IVO1048576 JFK983089:JFK1048576 JPG983089:JPG1048576 JZC983089:JZC1048576 KIY983089:KIY1048576 KSU983089:KSU1048576 LCQ983089:LCQ1048576 LMM983089:LMM1048576 LWI983089:LWI1048576 MGE983089:MGE1048576 MQA983089:MQA1048576 MZW983089:MZW1048576 NJS983089:NJS1048576 NTO983089:NTO1048576 ODK983089:ODK1048576 ONG983089:ONG1048576 OXC983089:OXC1048576 PGY983089:PGY1048576 PQU983089:PQU1048576 QAQ983089:QAQ1048576 QKM983089:QKM1048576 QUI983089:QUI1048576 REE983089:REE1048576 ROA983089:ROA1048576 RXW983089:RXW1048576 SHS983089:SHS1048576 SRO983089:SRO1048576 TBK983089:TBK1048576 TLG983089:TLG1048576 TVC983089:TVC1048576 UEY983089:UEY1048576 UOU983089:UOU1048576 UYQ983089:UYQ1048576 VIM983089:VIM1048576 VSI983089:VSI1048576 WCE983089:WCE1048576 WMA983089:WMA1048576 N15:N16 N18:N23 N26:N27 WVW15:WVW38 WMA15:WMA38 WCE15:WCE38 VSI15:VSI38 VIM15:VIM38 UYQ15:UYQ38 UOU15:UOU38 UEY15:UEY38 TVC15:TVC38 TLG15:TLG38 TBK15:TBK38 SRO15:SRO38 SHS15:SHS38 RXW15:RXW38 ROA15:ROA38 REE15:REE38 QUI15:QUI38 QKM15:QKM38 QAQ15:QAQ38 PQU15:PQU38 PGY15:PGY38 OXC15:OXC38 ONG15:ONG38 ODK15:ODK38 NTO15:NTO38 NJS15:NJS38 MZW15:MZW38 MQA15:MQA38 MGE15:MGE38 LWI15:LWI38 LMM15:LMM38 LCQ15:LCQ38 KSU15:KSU38 KIY15:KIY38 JZC15:JZC38 JPG15:JPG38 JFK15:JFK38 IVO15:IVO38 ILS15:ILS38 IBW15:IBW38 HSA15:HSA38 HIE15:HIE38 GYI15:GYI38 GOM15:GOM38 GEQ15:GEQ38 FUU15:FUU38 FKY15:FKY38 FBC15:FBC38 ERG15:ERG38 EHK15:EHK38 DXO15:DXO38 DNS15:DNS38 DDW15:DDW38 CUA15:CUA38 CKE15:CKE38 CAI15:CAI38 BQM15:BQM38 BGQ15:BGQ38 AWU15:AWU38 AMY15:AMY38 ADC15:ADC38 TG15:TG38 JK15:JK38 JK40 TG40 ADC40 AMY40 AWU40 BGQ40 BQM40 CAI40 CKE40 CUA40 DDW40 DNS40 DXO40 EHK40 ERG40 FBC40 FKY40 FUU40 GEQ40 GOM40 GYI40 HIE40 HSA40 IBW40 ILS40 IVO40 JFK40 JPG40 JZC40 KIY40 KSU40 LCQ40 LMM40 LWI40 MGE40 MQA40 MZW40 NJS40 NTO40 ODK40 ONG40 OXC40 PGY40 PQU40 QAQ40 QKM40 QUI40 REE40 ROA40 RXW40 SHS40 SRO40 TBK40 TLG40 TVC40 UEY40 UOU40 UYQ40 VIM40 VSI40 WCE40 WMA40 WVW40 N40 N44 N101:N65572 ADC42:ADC65572 AMY42:AMY65572 AWU42:AWU65572 BGQ42:BGQ65572 BQM42:BQM65572 CAI42:CAI65572 CKE42:CKE65572 CUA42:CUA65572 DDW42:DDW65572 DNS42:DNS65572 DXO42:DXO65572 EHK42:EHK65572 ERG42:ERG65572 FBC42:FBC65572 FKY42:FKY65572 FUU42:FUU65572 GEQ42:GEQ65572 GOM42:GOM65572 GYI42:GYI65572 HIE42:HIE65572 HSA42:HSA65572 IBW42:IBW65572 ILS42:ILS65572 IVO42:IVO65572 JFK42:JFK65572 JPG42:JPG65572 JZC42:JZC65572 KIY42:KIY65572 KSU42:KSU65572 LCQ42:LCQ65572 LMM42:LMM65572 LWI42:LWI65572 MGE42:MGE65572 MQA42:MQA65572 MZW42:MZW65572 NJS42:NJS65572 NTO42:NTO65572 ODK42:ODK65572 ONG42:ONG65572 OXC42:OXC65572 PGY42:PGY65572 PQU42:PQU65572 QAQ42:QAQ65572 QKM42:QKM65572 QUI42:QUI65572 REE42:REE65572 ROA42:ROA65572 RXW42:RXW65572 SHS42:SHS65572 SRO42:SRO65572 TBK42:TBK65572 TLG42:TLG65572 TVC42:TVC65572 UEY42:UEY65572 UOU42:UOU65572 UYQ42:UYQ65572 VIM42:VIM65572 VSI42:VSI65572 WCE42:WCE65572 WMA42:WMA65572 WVW42:WVW65572 JK42:JK65572 TG42:TG65572">
      <formula1>"Nhà cung cấp xuất hộ,Uyên Việt xuất hộ,tự xuất"</formula1>
    </dataValidation>
  </dataValidations>
  <hyperlinks>
    <hyperlink ref="K6" r:id="rId1"/>
    <hyperlink ref="K8" r:id="rId2"/>
    <hyperlink ref="K9" r:id="rId3"/>
    <hyperlink ref="K10" r:id="rId4"/>
    <hyperlink ref="K11" r:id="rId5"/>
    <hyperlink ref="K12" r:id="rId6"/>
    <hyperlink ref="K17" r:id="rId7"/>
    <hyperlink ref="K20" r:id="rId8"/>
    <hyperlink ref="K21" r:id="rId9"/>
    <hyperlink ref="K26" r:id="rId10"/>
    <hyperlink ref="K27" r:id="rId11"/>
    <hyperlink ref="K28" r:id="rId12"/>
    <hyperlink ref="K29" r:id="rId13"/>
    <hyperlink ref="K30" r:id="rId14"/>
    <hyperlink ref="K79" r:id="rId15"/>
    <hyperlink ref="K80" r:id="rId16"/>
    <hyperlink ref="K81" r:id="rId17"/>
    <hyperlink ref="K82" r:id="rId18"/>
    <hyperlink ref="K85" r:id="rId19"/>
    <hyperlink ref="K86" r:id="rId20"/>
    <hyperlink ref="K87" r:id="rId21"/>
    <hyperlink ref="K51" r:id="rId22"/>
    <hyperlink ref="K102" r:id="rId23"/>
    <hyperlink ref="K103" r:id="rId24"/>
    <hyperlink ref="K125" r:id="rId25"/>
    <hyperlink ref="K126" r:id="rId26"/>
    <hyperlink ref="K127" r:id="rId27"/>
    <hyperlink ref="K129" r:id="rId28"/>
    <hyperlink ref="K135" r:id="rId29"/>
    <hyperlink ref="K141" r:id="rId30"/>
    <hyperlink ref="K182" r:id="rId31"/>
    <hyperlink ref="K301" r:id="rId32"/>
    <hyperlink ref="K33" r:id="rId33"/>
    <hyperlink ref="K386" r:id="rId34"/>
    <hyperlink ref="K389" r:id="rId35"/>
    <hyperlink ref="K412" r:id="rId36"/>
    <hyperlink ref="K413" r:id="rId37"/>
    <hyperlink ref="K419" r:id="rId38"/>
    <hyperlink ref="K421" r:id="rId39"/>
    <hyperlink ref="K431" r:id="rId40"/>
    <hyperlink ref="K441" r:id="rId41"/>
    <hyperlink ref="K452" r:id="rId42"/>
    <hyperlink ref="K456" r:id="rId43"/>
    <hyperlink ref="K501" r:id="rId44"/>
    <hyperlink ref="K502" r:id="rId45"/>
    <hyperlink ref="K514" r:id="rId46"/>
    <hyperlink ref="K518" r:id="rId47"/>
    <hyperlink ref="K520" r:id="rId48"/>
    <hyperlink ref="K522" r:id="rId49"/>
    <hyperlink ref="K526" r:id="rId50"/>
    <hyperlink ref="K551" r:id="rId51"/>
    <hyperlink ref="K555" r:id="rId52"/>
    <hyperlink ref="K556" r:id="rId53"/>
    <hyperlink ref="K558" r:id="rId54"/>
    <hyperlink ref="K565" r:id="rId55"/>
    <hyperlink ref="K566" r:id="rId56"/>
    <hyperlink ref="K652" r:id="rId57"/>
    <hyperlink ref="K653" r:id="rId58"/>
    <hyperlink ref="K659" r:id="rId59"/>
    <hyperlink ref="K640" r:id="rId60"/>
    <hyperlink ref="K638" r:id="rId61"/>
    <hyperlink ref="K627" r:id="rId62"/>
    <hyperlink ref="K584" r:id="rId63"/>
    <hyperlink ref="K592" r:id="rId64"/>
    <hyperlink ref="K601" r:id="rId65"/>
    <hyperlink ref="K607" r:id="rId66"/>
    <hyperlink ref="K662" r:id="rId67"/>
    <hyperlink ref="K663" r:id="rId68"/>
    <hyperlink ref="K664" r:id="rId69"/>
    <hyperlink ref="K671" r:id="rId70"/>
    <hyperlink ref="K678" r:id="rId71"/>
    <hyperlink ref="K679" r:id="rId72"/>
    <hyperlink ref="K681" r:id="rId73"/>
    <hyperlink ref="K689" r:id="rId74"/>
    <hyperlink ref="K690" r:id="rId75"/>
    <hyperlink ref="K692" r:id="rId76"/>
    <hyperlink ref="K718" r:id="rId77"/>
    <hyperlink ref="K719" r:id="rId78"/>
    <hyperlink ref="K528" r:id="rId79"/>
    <hyperlink ref="K471" r:id="rId80"/>
    <hyperlink ref="K735" r:id="rId81"/>
    <hyperlink ref="K736" r:id="rId82"/>
    <hyperlink ref="K759" r:id="rId83"/>
    <hyperlink ref="K799" r:id="rId84"/>
    <hyperlink ref="K800" r:id="rId85"/>
    <hyperlink ref="K801" r:id="rId86"/>
    <hyperlink ref="K807" r:id="rId87"/>
    <hyperlink ref="K812" r:id="rId88"/>
    <hyperlink ref="K830" r:id="rId89"/>
    <hyperlink ref="K843" r:id="rId90"/>
    <hyperlink ref="K845" r:id="rId91"/>
    <hyperlink ref="K885" r:id="rId92"/>
    <hyperlink ref="K900" r:id="rId93"/>
    <hyperlink ref="K902" r:id="rId94"/>
    <hyperlink ref="K905" r:id="rId95"/>
    <hyperlink ref="K907" r:id="rId96"/>
    <hyperlink ref="K908" r:id="rId97"/>
    <hyperlink ref="K912" r:id="rId98"/>
    <hyperlink ref="K919" r:id="rId99"/>
    <hyperlink ref="K920" r:id="rId100"/>
    <hyperlink ref="K921" r:id="rId101"/>
    <hyperlink ref="K923" r:id="rId102"/>
    <hyperlink ref="K927" r:id="rId103"/>
    <hyperlink ref="K933" r:id="rId104"/>
    <hyperlink ref="K934" r:id="rId105"/>
    <hyperlink ref="K942" r:id="rId106"/>
    <hyperlink ref="K943" r:id="rId107"/>
    <hyperlink ref="K944" r:id="rId108"/>
    <hyperlink ref="K945" r:id="rId109"/>
    <hyperlink ref="K947" r:id="rId110"/>
    <hyperlink ref="K948" r:id="rId111"/>
    <hyperlink ref="K949" r:id="rId112"/>
    <hyperlink ref="K951" r:id="rId113"/>
    <hyperlink ref="K952" r:id="rId114"/>
    <hyperlink ref="K954" r:id="rId115"/>
    <hyperlink ref="K955" r:id="rId116"/>
    <hyperlink ref="K956" r:id="rId117"/>
    <hyperlink ref="J959" r:id="rId118"/>
    <hyperlink ref="K960" r:id="rId119"/>
    <hyperlink ref="K966" r:id="rId120"/>
    <hyperlink ref="K968" r:id="rId121"/>
    <hyperlink ref="K974" r:id="rId122"/>
    <hyperlink ref="K982" r:id="rId123"/>
    <hyperlink ref="K983" r:id="rId124"/>
    <hyperlink ref="K985" r:id="rId125"/>
    <hyperlink ref="K986" r:id="rId126"/>
    <hyperlink ref="K990" r:id="rId127"/>
    <hyperlink ref="L991" r:id="rId128"/>
    <hyperlink ref="K991" r:id="rId129"/>
    <hyperlink ref="K992" r:id="rId130"/>
    <hyperlink ref="K993" r:id="rId131"/>
    <hyperlink ref="K999" r:id="rId132"/>
    <hyperlink ref="K1007" r:id="rId133"/>
    <hyperlink ref="K1008" r:id="rId134"/>
    <hyperlink ref="K1009" r:id="rId135"/>
    <hyperlink ref="K1011" r:id="rId136"/>
    <hyperlink ref="K1012" r:id="rId137"/>
    <hyperlink ref="K1013" r:id="rId138"/>
    <hyperlink ref="K1015" r:id="rId139"/>
    <hyperlink ref="K1016" r:id="rId140"/>
    <hyperlink ref="K1018" r:id="rId141"/>
    <hyperlink ref="K1020" r:id="rId142"/>
    <hyperlink ref="K1028" r:id="rId143"/>
    <hyperlink ref="K1029" r:id="rId144"/>
    <hyperlink ref="K1031" r:id="rId145"/>
    <hyperlink ref="K1036" r:id="rId146"/>
    <hyperlink ref="K1038" r:id="rId147"/>
    <hyperlink ref="J1040" r:id="rId148"/>
    <hyperlink ref="K1049" r:id="rId149"/>
    <hyperlink ref="K1021" r:id="rId150"/>
    <hyperlink ref="K1105" r:id="rId151"/>
    <hyperlink ref="K1127" r:id="rId152"/>
    <hyperlink ref="K1169" r:id="rId153"/>
    <hyperlink ref="K1190" r:id="rId154"/>
  </hyperlinks>
  <pageMargins left="0.7" right="0.7" top="0.75" bottom="0.75" header="0.3" footer="0.3"/>
  <pageSetup orientation="portrait" r:id="rId15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workbookViewId="0">
      <pane xSplit="3" ySplit="4" topLeftCell="D53" activePane="bottomRight" state="frozen"/>
      <selection pane="topRight" activeCell="D1" sqref="D1"/>
      <selection pane="bottomLeft" activeCell="A5" sqref="A5"/>
      <selection pane="bottomRight" activeCell="D58" sqref="D58"/>
    </sheetView>
  </sheetViews>
  <sheetFormatPr defaultColWidth="9" defaultRowHeight="15.75" x14ac:dyDescent="0.25"/>
  <cols>
    <col min="1" max="1" width="9" style="23"/>
    <col min="2" max="2" width="15.28515625" style="23" customWidth="1"/>
    <col min="3" max="3" width="50.140625" style="163" customWidth="1"/>
    <col min="4" max="4" width="10.85546875" style="163" customWidth="1"/>
    <col min="5" max="5" width="14.5703125" style="27" customWidth="1"/>
    <col min="6" max="6" width="42.5703125" style="154" customWidth="1"/>
    <col min="7" max="7" width="17.28515625" style="27" customWidth="1"/>
    <col min="8" max="8" width="29.85546875" style="23" bestFit="1" customWidth="1"/>
    <col min="9" max="9" width="31.140625" style="7" customWidth="1"/>
    <col min="10" max="10" width="21.85546875" style="7" customWidth="1"/>
    <col min="11" max="11" width="14.140625" style="23" customWidth="1"/>
    <col min="12" max="12" width="25.7109375" style="28" customWidth="1"/>
    <col min="13" max="13" width="26.7109375" style="7" customWidth="1"/>
    <col min="14" max="14" width="15.28515625" style="23" customWidth="1"/>
    <col min="15" max="15" width="12.42578125" style="23" hidden="1" customWidth="1"/>
    <col min="16" max="16" width="19.28515625" style="23" hidden="1" customWidth="1"/>
    <col min="17" max="17" width="19.28515625" style="23" customWidth="1"/>
    <col min="18" max="18" width="16.5703125" style="28" customWidth="1"/>
    <col min="19" max="19" width="29" style="23" customWidth="1"/>
    <col min="20" max="20" width="14.28515625" style="23" customWidth="1"/>
    <col min="21" max="21" width="11.5703125" style="23" customWidth="1"/>
    <col min="22" max="22" width="11.5703125" style="23" bestFit="1" customWidth="1"/>
    <col min="23" max="259" width="9" style="23"/>
    <col min="260" max="260" width="15.28515625" style="23" customWidth="1"/>
    <col min="261" max="261" width="83.140625" style="23" bestFit="1" customWidth="1"/>
    <col min="262" max="262" width="22" style="23" customWidth="1"/>
    <col min="263" max="263" width="102.140625" style="23" bestFit="1" customWidth="1"/>
    <col min="264" max="264" width="17.28515625" style="23" customWidth="1"/>
    <col min="265" max="265" width="29.85546875" style="23" bestFit="1" customWidth="1"/>
    <col min="266" max="266" width="31.140625" style="23" customWidth="1"/>
    <col min="267" max="267" width="21.85546875" style="23" customWidth="1"/>
    <col min="268" max="268" width="14.140625" style="23" customWidth="1"/>
    <col min="269" max="269" width="25.7109375" style="23" customWidth="1"/>
    <col min="270" max="270" width="26.7109375" style="23" customWidth="1"/>
    <col min="271" max="271" width="58.42578125" style="23" bestFit="1" customWidth="1"/>
    <col min="272" max="272" width="12.42578125" style="23" customWidth="1"/>
    <col min="273" max="273" width="19.28515625" style="23" customWidth="1"/>
    <col min="274" max="274" width="16.5703125" style="23" customWidth="1"/>
    <col min="275" max="275" width="29" style="23" customWidth="1"/>
    <col min="276" max="515" width="9" style="23"/>
    <col min="516" max="516" width="15.28515625" style="23" customWidth="1"/>
    <col min="517" max="517" width="83.140625" style="23" bestFit="1" customWidth="1"/>
    <col min="518" max="518" width="22" style="23" customWidth="1"/>
    <col min="519" max="519" width="102.140625" style="23" bestFit="1" customWidth="1"/>
    <col min="520" max="520" width="17.28515625" style="23" customWidth="1"/>
    <col min="521" max="521" width="29.85546875" style="23" bestFit="1" customWidth="1"/>
    <col min="522" max="522" width="31.140625" style="23" customWidth="1"/>
    <col min="523" max="523" width="21.85546875" style="23" customWidth="1"/>
    <col min="524" max="524" width="14.140625" style="23" customWidth="1"/>
    <col min="525" max="525" width="25.7109375" style="23" customWidth="1"/>
    <col min="526" max="526" width="26.7109375" style="23" customWidth="1"/>
    <col min="527" max="527" width="58.42578125" style="23" bestFit="1" customWidth="1"/>
    <col min="528" max="528" width="12.42578125" style="23" customWidth="1"/>
    <col min="529" max="529" width="19.28515625" style="23" customWidth="1"/>
    <col min="530" max="530" width="16.5703125" style="23" customWidth="1"/>
    <col min="531" max="531" width="29" style="23" customWidth="1"/>
    <col min="532" max="771" width="9" style="23"/>
    <col min="772" max="772" width="15.28515625" style="23" customWidth="1"/>
    <col min="773" max="773" width="83.140625" style="23" bestFit="1" customWidth="1"/>
    <col min="774" max="774" width="22" style="23" customWidth="1"/>
    <col min="775" max="775" width="102.140625" style="23" bestFit="1" customWidth="1"/>
    <col min="776" max="776" width="17.28515625" style="23" customWidth="1"/>
    <col min="777" max="777" width="29.85546875" style="23" bestFit="1" customWidth="1"/>
    <col min="778" max="778" width="31.140625" style="23" customWidth="1"/>
    <col min="779" max="779" width="21.85546875" style="23" customWidth="1"/>
    <col min="780" max="780" width="14.140625" style="23" customWidth="1"/>
    <col min="781" max="781" width="25.7109375" style="23" customWidth="1"/>
    <col min="782" max="782" width="26.7109375" style="23" customWidth="1"/>
    <col min="783" max="783" width="58.42578125" style="23" bestFit="1" customWidth="1"/>
    <col min="784" max="784" width="12.42578125" style="23" customWidth="1"/>
    <col min="785" max="785" width="19.28515625" style="23" customWidth="1"/>
    <col min="786" max="786" width="16.5703125" style="23" customWidth="1"/>
    <col min="787" max="787" width="29" style="23" customWidth="1"/>
    <col min="788" max="1027" width="9" style="23"/>
    <col min="1028" max="1028" width="15.28515625" style="23" customWidth="1"/>
    <col min="1029" max="1029" width="83.140625" style="23" bestFit="1" customWidth="1"/>
    <col min="1030" max="1030" width="22" style="23" customWidth="1"/>
    <col min="1031" max="1031" width="102.140625" style="23" bestFit="1" customWidth="1"/>
    <col min="1032" max="1032" width="17.28515625" style="23" customWidth="1"/>
    <col min="1033" max="1033" width="29.85546875" style="23" bestFit="1" customWidth="1"/>
    <col min="1034" max="1034" width="31.140625" style="23" customWidth="1"/>
    <col min="1035" max="1035" width="21.85546875" style="23" customWidth="1"/>
    <col min="1036" max="1036" width="14.140625" style="23" customWidth="1"/>
    <col min="1037" max="1037" width="25.7109375" style="23" customWidth="1"/>
    <col min="1038" max="1038" width="26.7109375" style="23" customWidth="1"/>
    <col min="1039" max="1039" width="58.42578125" style="23" bestFit="1" customWidth="1"/>
    <col min="1040" max="1040" width="12.42578125" style="23" customWidth="1"/>
    <col min="1041" max="1041" width="19.28515625" style="23" customWidth="1"/>
    <col min="1042" max="1042" width="16.5703125" style="23" customWidth="1"/>
    <col min="1043" max="1043" width="29" style="23" customWidth="1"/>
    <col min="1044" max="1283" width="9" style="23"/>
    <col min="1284" max="1284" width="15.28515625" style="23" customWidth="1"/>
    <col min="1285" max="1285" width="83.140625" style="23" bestFit="1" customWidth="1"/>
    <col min="1286" max="1286" width="22" style="23" customWidth="1"/>
    <col min="1287" max="1287" width="102.140625" style="23" bestFit="1" customWidth="1"/>
    <col min="1288" max="1288" width="17.28515625" style="23" customWidth="1"/>
    <col min="1289" max="1289" width="29.85546875" style="23" bestFit="1" customWidth="1"/>
    <col min="1290" max="1290" width="31.140625" style="23" customWidth="1"/>
    <col min="1291" max="1291" width="21.85546875" style="23" customWidth="1"/>
    <col min="1292" max="1292" width="14.140625" style="23" customWidth="1"/>
    <col min="1293" max="1293" width="25.7109375" style="23" customWidth="1"/>
    <col min="1294" max="1294" width="26.7109375" style="23" customWidth="1"/>
    <col min="1295" max="1295" width="58.42578125" style="23" bestFit="1" customWidth="1"/>
    <col min="1296" max="1296" width="12.42578125" style="23" customWidth="1"/>
    <col min="1297" max="1297" width="19.28515625" style="23" customWidth="1"/>
    <col min="1298" max="1298" width="16.5703125" style="23" customWidth="1"/>
    <col min="1299" max="1299" width="29" style="23" customWidth="1"/>
    <col min="1300" max="1539" width="9" style="23"/>
    <col min="1540" max="1540" width="15.28515625" style="23" customWidth="1"/>
    <col min="1541" max="1541" width="83.140625" style="23" bestFit="1" customWidth="1"/>
    <col min="1542" max="1542" width="22" style="23" customWidth="1"/>
    <col min="1543" max="1543" width="102.140625" style="23" bestFit="1" customWidth="1"/>
    <col min="1544" max="1544" width="17.28515625" style="23" customWidth="1"/>
    <col min="1545" max="1545" width="29.85546875" style="23" bestFit="1" customWidth="1"/>
    <col min="1546" max="1546" width="31.140625" style="23" customWidth="1"/>
    <col min="1547" max="1547" width="21.85546875" style="23" customWidth="1"/>
    <col min="1548" max="1548" width="14.140625" style="23" customWidth="1"/>
    <col min="1549" max="1549" width="25.7109375" style="23" customWidth="1"/>
    <col min="1550" max="1550" width="26.7109375" style="23" customWidth="1"/>
    <col min="1551" max="1551" width="58.42578125" style="23" bestFit="1" customWidth="1"/>
    <col min="1552" max="1552" width="12.42578125" style="23" customWidth="1"/>
    <col min="1553" max="1553" width="19.28515625" style="23" customWidth="1"/>
    <col min="1554" max="1554" width="16.5703125" style="23" customWidth="1"/>
    <col min="1555" max="1555" width="29" style="23" customWidth="1"/>
    <col min="1556" max="1795" width="9" style="23"/>
    <col min="1796" max="1796" width="15.28515625" style="23" customWidth="1"/>
    <col min="1797" max="1797" width="83.140625" style="23" bestFit="1" customWidth="1"/>
    <col min="1798" max="1798" width="22" style="23" customWidth="1"/>
    <col min="1799" max="1799" width="102.140625" style="23" bestFit="1" customWidth="1"/>
    <col min="1800" max="1800" width="17.28515625" style="23" customWidth="1"/>
    <col min="1801" max="1801" width="29.85546875" style="23" bestFit="1" customWidth="1"/>
    <col min="1802" max="1802" width="31.140625" style="23" customWidth="1"/>
    <col min="1803" max="1803" width="21.85546875" style="23" customWidth="1"/>
    <col min="1804" max="1804" width="14.140625" style="23" customWidth="1"/>
    <col min="1805" max="1805" width="25.7109375" style="23" customWidth="1"/>
    <col min="1806" max="1806" width="26.7109375" style="23" customWidth="1"/>
    <col min="1807" max="1807" width="58.42578125" style="23" bestFit="1" customWidth="1"/>
    <col min="1808" max="1808" width="12.42578125" style="23" customWidth="1"/>
    <col min="1809" max="1809" width="19.28515625" style="23" customWidth="1"/>
    <col min="1810" max="1810" width="16.5703125" style="23" customWidth="1"/>
    <col min="1811" max="1811" width="29" style="23" customWidth="1"/>
    <col min="1812" max="2051" width="9" style="23"/>
    <col min="2052" max="2052" width="15.28515625" style="23" customWidth="1"/>
    <col min="2053" max="2053" width="83.140625" style="23" bestFit="1" customWidth="1"/>
    <col min="2054" max="2054" width="22" style="23" customWidth="1"/>
    <col min="2055" max="2055" width="102.140625" style="23" bestFit="1" customWidth="1"/>
    <col min="2056" max="2056" width="17.28515625" style="23" customWidth="1"/>
    <col min="2057" max="2057" width="29.85546875" style="23" bestFit="1" customWidth="1"/>
    <col min="2058" max="2058" width="31.140625" style="23" customWidth="1"/>
    <col min="2059" max="2059" width="21.85546875" style="23" customWidth="1"/>
    <col min="2060" max="2060" width="14.140625" style="23" customWidth="1"/>
    <col min="2061" max="2061" width="25.7109375" style="23" customWidth="1"/>
    <col min="2062" max="2062" width="26.7109375" style="23" customWidth="1"/>
    <col min="2063" max="2063" width="58.42578125" style="23" bestFit="1" customWidth="1"/>
    <col min="2064" max="2064" width="12.42578125" style="23" customWidth="1"/>
    <col min="2065" max="2065" width="19.28515625" style="23" customWidth="1"/>
    <col min="2066" max="2066" width="16.5703125" style="23" customWidth="1"/>
    <col min="2067" max="2067" width="29" style="23" customWidth="1"/>
    <col min="2068" max="2307" width="9" style="23"/>
    <col min="2308" max="2308" width="15.28515625" style="23" customWidth="1"/>
    <col min="2309" max="2309" width="83.140625" style="23" bestFit="1" customWidth="1"/>
    <col min="2310" max="2310" width="22" style="23" customWidth="1"/>
    <col min="2311" max="2311" width="102.140625" style="23" bestFit="1" customWidth="1"/>
    <col min="2312" max="2312" width="17.28515625" style="23" customWidth="1"/>
    <col min="2313" max="2313" width="29.85546875" style="23" bestFit="1" customWidth="1"/>
    <col min="2314" max="2314" width="31.140625" style="23" customWidth="1"/>
    <col min="2315" max="2315" width="21.85546875" style="23" customWidth="1"/>
    <col min="2316" max="2316" width="14.140625" style="23" customWidth="1"/>
    <col min="2317" max="2317" width="25.7109375" style="23" customWidth="1"/>
    <col min="2318" max="2318" width="26.7109375" style="23" customWidth="1"/>
    <col min="2319" max="2319" width="58.42578125" style="23" bestFit="1" customWidth="1"/>
    <col min="2320" max="2320" width="12.42578125" style="23" customWidth="1"/>
    <col min="2321" max="2321" width="19.28515625" style="23" customWidth="1"/>
    <col min="2322" max="2322" width="16.5703125" style="23" customWidth="1"/>
    <col min="2323" max="2323" width="29" style="23" customWidth="1"/>
    <col min="2324" max="2563" width="9" style="23"/>
    <col min="2564" max="2564" width="15.28515625" style="23" customWidth="1"/>
    <col min="2565" max="2565" width="83.140625" style="23" bestFit="1" customWidth="1"/>
    <col min="2566" max="2566" width="22" style="23" customWidth="1"/>
    <col min="2567" max="2567" width="102.140625" style="23" bestFit="1" customWidth="1"/>
    <col min="2568" max="2568" width="17.28515625" style="23" customWidth="1"/>
    <col min="2569" max="2569" width="29.85546875" style="23" bestFit="1" customWidth="1"/>
    <col min="2570" max="2570" width="31.140625" style="23" customWidth="1"/>
    <col min="2571" max="2571" width="21.85546875" style="23" customWidth="1"/>
    <col min="2572" max="2572" width="14.140625" style="23" customWidth="1"/>
    <col min="2573" max="2573" width="25.7109375" style="23" customWidth="1"/>
    <col min="2574" max="2574" width="26.7109375" style="23" customWidth="1"/>
    <col min="2575" max="2575" width="58.42578125" style="23" bestFit="1" customWidth="1"/>
    <col min="2576" max="2576" width="12.42578125" style="23" customWidth="1"/>
    <col min="2577" max="2577" width="19.28515625" style="23" customWidth="1"/>
    <col min="2578" max="2578" width="16.5703125" style="23" customWidth="1"/>
    <col min="2579" max="2579" width="29" style="23" customWidth="1"/>
    <col min="2580" max="2819" width="9" style="23"/>
    <col min="2820" max="2820" width="15.28515625" style="23" customWidth="1"/>
    <col min="2821" max="2821" width="83.140625" style="23" bestFit="1" customWidth="1"/>
    <col min="2822" max="2822" width="22" style="23" customWidth="1"/>
    <col min="2823" max="2823" width="102.140625" style="23" bestFit="1" customWidth="1"/>
    <col min="2824" max="2824" width="17.28515625" style="23" customWidth="1"/>
    <col min="2825" max="2825" width="29.85546875" style="23" bestFit="1" customWidth="1"/>
    <col min="2826" max="2826" width="31.140625" style="23" customWidth="1"/>
    <col min="2827" max="2827" width="21.85546875" style="23" customWidth="1"/>
    <col min="2828" max="2828" width="14.140625" style="23" customWidth="1"/>
    <col min="2829" max="2829" width="25.7109375" style="23" customWidth="1"/>
    <col min="2830" max="2830" width="26.7109375" style="23" customWidth="1"/>
    <col min="2831" max="2831" width="58.42578125" style="23" bestFit="1" customWidth="1"/>
    <col min="2832" max="2832" width="12.42578125" style="23" customWidth="1"/>
    <col min="2833" max="2833" width="19.28515625" style="23" customWidth="1"/>
    <col min="2834" max="2834" width="16.5703125" style="23" customWidth="1"/>
    <col min="2835" max="2835" width="29" style="23" customWidth="1"/>
    <col min="2836" max="3075" width="9" style="23"/>
    <col min="3076" max="3076" width="15.28515625" style="23" customWidth="1"/>
    <col min="3077" max="3077" width="83.140625" style="23" bestFit="1" customWidth="1"/>
    <col min="3078" max="3078" width="22" style="23" customWidth="1"/>
    <col min="3079" max="3079" width="102.140625" style="23" bestFit="1" customWidth="1"/>
    <col min="3080" max="3080" width="17.28515625" style="23" customWidth="1"/>
    <col min="3081" max="3081" width="29.85546875" style="23" bestFit="1" customWidth="1"/>
    <col min="3082" max="3082" width="31.140625" style="23" customWidth="1"/>
    <col min="3083" max="3083" width="21.85546875" style="23" customWidth="1"/>
    <col min="3084" max="3084" width="14.140625" style="23" customWidth="1"/>
    <col min="3085" max="3085" width="25.7109375" style="23" customWidth="1"/>
    <col min="3086" max="3086" width="26.7109375" style="23" customWidth="1"/>
    <col min="3087" max="3087" width="58.42578125" style="23" bestFit="1" customWidth="1"/>
    <col min="3088" max="3088" width="12.42578125" style="23" customWidth="1"/>
    <col min="3089" max="3089" width="19.28515625" style="23" customWidth="1"/>
    <col min="3090" max="3090" width="16.5703125" style="23" customWidth="1"/>
    <col min="3091" max="3091" width="29" style="23" customWidth="1"/>
    <col min="3092" max="3331" width="9" style="23"/>
    <col min="3332" max="3332" width="15.28515625" style="23" customWidth="1"/>
    <col min="3333" max="3333" width="83.140625" style="23" bestFit="1" customWidth="1"/>
    <col min="3334" max="3334" width="22" style="23" customWidth="1"/>
    <col min="3335" max="3335" width="102.140625" style="23" bestFit="1" customWidth="1"/>
    <col min="3336" max="3336" width="17.28515625" style="23" customWidth="1"/>
    <col min="3337" max="3337" width="29.85546875" style="23" bestFit="1" customWidth="1"/>
    <col min="3338" max="3338" width="31.140625" style="23" customWidth="1"/>
    <col min="3339" max="3339" width="21.85546875" style="23" customWidth="1"/>
    <col min="3340" max="3340" width="14.140625" style="23" customWidth="1"/>
    <col min="3341" max="3341" width="25.7109375" style="23" customWidth="1"/>
    <col min="3342" max="3342" width="26.7109375" style="23" customWidth="1"/>
    <col min="3343" max="3343" width="58.42578125" style="23" bestFit="1" customWidth="1"/>
    <col min="3344" max="3344" width="12.42578125" style="23" customWidth="1"/>
    <col min="3345" max="3345" width="19.28515625" style="23" customWidth="1"/>
    <col min="3346" max="3346" width="16.5703125" style="23" customWidth="1"/>
    <col min="3347" max="3347" width="29" style="23" customWidth="1"/>
    <col min="3348" max="3587" width="9" style="23"/>
    <col min="3588" max="3588" width="15.28515625" style="23" customWidth="1"/>
    <col min="3589" max="3589" width="83.140625" style="23" bestFit="1" customWidth="1"/>
    <col min="3590" max="3590" width="22" style="23" customWidth="1"/>
    <col min="3591" max="3591" width="102.140625" style="23" bestFit="1" customWidth="1"/>
    <col min="3592" max="3592" width="17.28515625" style="23" customWidth="1"/>
    <col min="3593" max="3593" width="29.85546875" style="23" bestFit="1" customWidth="1"/>
    <col min="3594" max="3594" width="31.140625" style="23" customWidth="1"/>
    <col min="3595" max="3595" width="21.85546875" style="23" customWidth="1"/>
    <col min="3596" max="3596" width="14.140625" style="23" customWidth="1"/>
    <col min="3597" max="3597" width="25.7109375" style="23" customWidth="1"/>
    <col min="3598" max="3598" width="26.7109375" style="23" customWidth="1"/>
    <col min="3599" max="3599" width="58.42578125" style="23" bestFit="1" customWidth="1"/>
    <col min="3600" max="3600" width="12.42578125" style="23" customWidth="1"/>
    <col min="3601" max="3601" width="19.28515625" style="23" customWidth="1"/>
    <col min="3602" max="3602" width="16.5703125" style="23" customWidth="1"/>
    <col min="3603" max="3603" width="29" style="23" customWidth="1"/>
    <col min="3604" max="3843" width="9" style="23"/>
    <col min="3844" max="3844" width="15.28515625" style="23" customWidth="1"/>
    <col min="3845" max="3845" width="83.140625" style="23" bestFit="1" customWidth="1"/>
    <col min="3846" max="3846" width="22" style="23" customWidth="1"/>
    <col min="3847" max="3847" width="102.140625" style="23" bestFit="1" customWidth="1"/>
    <col min="3848" max="3848" width="17.28515625" style="23" customWidth="1"/>
    <col min="3849" max="3849" width="29.85546875" style="23" bestFit="1" customWidth="1"/>
    <col min="3850" max="3850" width="31.140625" style="23" customWidth="1"/>
    <col min="3851" max="3851" width="21.85546875" style="23" customWidth="1"/>
    <col min="3852" max="3852" width="14.140625" style="23" customWidth="1"/>
    <col min="3853" max="3853" width="25.7109375" style="23" customWidth="1"/>
    <col min="3854" max="3854" width="26.7109375" style="23" customWidth="1"/>
    <col min="3855" max="3855" width="58.42578125" style="23" bestFit="1" customWidth="1"/>
    <col min="3856" max="3856" width="12.42578125" style="23" customWidth="1"/>
    <col min="3857" max="3857" width="19.28515625" style="23" customWidth="1"/>
    <col min="3858" max="3858" width="16.5703125" style="23" customWidth="1"/>
    <col min="3859" max="3859" width="29" style="23" customWidth="1"/>
    <col min="3860" max="4099" width="9" style="23"/>
    <col min="4100" max="4100" width="15.28515625" style="23" customWidth="1"/>
    <col min="4101" max="4101" width="83.140625" style="23" bestFit="1" customWidth="1"/>
    <col min="4102" max="4102" width="22" style="23" customWidth="1"/>
    <col min="4103" max="4103" width="102.140625" style="23" bestFit="1" customWidth="1"/>
    <col min="4104" max="4104" width="17.28515625" style="23" customWidth="1"/>
    <col min="4105" max="4105" width="29.85546875" style="23" bestFit="1" customWidth="1"/>
    <col min="4106" max="4106" width="31.140625" style="23" customWidth="1"/>
    <col min="4107" max="4107" width="21.85546875" style="23" customWidth="1"/>
    <col min="4108" max="4108" width="14.140625" style="23" customWidth="1"/>
    <col min="4109" max="4109" width="25.7109375" style="23" customWidth="1"/>
    <col min="4110" max="4110" width="26.7109375" style="23" customWidth="1"/>
    <col min="4111" max="4111" width="58.42578125" style="23" bestFit="1" customWidth="1"/>
    <col min="4112" max="4112" width="12.42578125" style="23" customWidth="1"/>
    <col min="4113" max="4113" width="19.28515625" style="23" customWidth="1"/>
    <col min="4114" max="4114" width="16.5703125" style="23" customWidth="1"/>
    <col min="4115" max="4115" width="29" style="23" customWidth="1"/>
    <col min="4116" max="4355" width="9" style="23"/>
    <col min="4356" max="4356" width="15.28515625" style="23" customWidth="1"/>
    <col min="4357" max="4357" width="83.140625" style="23" bestFit="1" customWidth="1"/>
    <col min="4358" max="4358" width="22" style="23" customWidth="1"/>
    <col min="4359" max="4359" width="102.140625" style="23" bestFit="1" customWidth="1"/>
    <col min="4360" max="4360" width="17.28515625" style="23" customWidth="1"/>
    <col min="4361" max="4361" width="29.85546875" style="23" bestFit="1" customWidth="1"/>
    <col min="4362" max="4362" width="31.140625" style="23" customWidth="1"/>
    <col min="4363" max="4363" width="21.85546875" style="23" customWidth="1"/>
    <col min="4364" max="4364" width="14.140625" style="23" customWidth="1"/>
    <col min="4365" max="4365" width="25.7109375" style="23" customWidth="1"/>
    <col min="4366" max="4366" width="26.7109375" style="23" customWidth="1"/>
    <col min="4367" max="4367" width="58.42578125" style="23" bestFit="1" customWidth="1"/>
    <col min="4368" max="4368" width="12.42578125" style="23" customWidth="1"/>
    <col min="4369" max="4369" width="19.28515625" style="23" customWidth="1"/>
    <col min="4370" max="4370" width="16.5703125" style="23" customWidth="1"/>
    <col min="4371" max="4371" width="29" style="23" customWidth="1"/>
    <col min="4372" max="4611" width="9" style="23"/>
    <col min="4612" max="4612" width="15.28515625" style="23" customWidth="1"/>
    <col min="4613" max="4613" width="83.140625" style="23" bestFit="1" customWidth="1"/>
    <col min="4614" max="4614" width="22" style="23" customWidth="1"/>
    <col min="4615" max="4615" width="102.140625" style="23" bestFit="1" customWidth="1"/>
    <col min="4616" max="4616" width="17.28515625" style="23" customWidth="1"/>
    <col min="4617" max="4617" width="29.85546875" style="23" bestFit="1" customWidth="1"/>
    <col min="4618" max="4618" width="31.140625" style="23" customWidth="1"/>
    <col min="4619" max="4619" width="21.85546875" style="23" customWidth="1"/>
    <col min="4620" max="4620" width="14.140625" style="23" customWidth="1"/>
    <col min="4621" max="4621" width="25.7109375" style="23" customWidth="1"/>
    <col min="4622" max="4622" width="26.7109375" style="23" customWidth="1"/>
    <col min="4623" max="4623" width="58.42578125" style="23" bestFit="1" customWidth="1"/>
    <col min="4624" max="4624" width="12.42578125" style="23" customWidth="1"/>
    <col min="4625" max="4625" width="19.28515625" style="23" customWidth="1"/>
    <col min="4626" max="4626" width="16.5703125" style="23" customWidth="1"/>
    <col min="4627" max="4627" width="29" style="23" customWidth="1"/>
    <col min="4628" max="4867" width="9" style="23"/>
    <col min="4868" max="4868" width="15.28515625" style="23" customWidth="1"/>
    <col min="4869" max="4869" width="83.140625" style="23" bestFit="1" customWidth="1"/>
    <col min="4870" max="4870" width="22" style="23" customWidth="1"/>
    <col min="4871" max="4871" width="102.140625" style="23" bestFit="1" customWidth="1"/>
    <col min="4872" max="4872" width="17.28515625" style="23" customWidth="1"/>
    <col min="4873" max="4873" width="29.85546875" style="23" bestFit="1" customWidth="1"/>
    <col min="4874" max="4874" width="31.140625" style="23" customWidth="1"/>
    <col min="4875" max="4875" width="21.85546875" style="23" customWidth="1"/>
    <col min="4876" max="4876" width="14.140625" style="23" customWidth="1"/>
    <col min="4877" max="4877" width="25.7109375" style="23" customWidth="1"/>
    <col min="4878" max="4878" width="26.7109375" style="23" customWidth="1"/>
    <col min="4879" max="4879" width="58.42578125" style="23" bestFit="1" customWidth="1"/>
    <col min="4880" max="4880" width="12.42578125" style="23" customWidth="1"/>
    <col min="4881" max="4881" width="19.28515625" style="23" customWidth="1"/>
    <col min="4882" max="4882" width="16.5703125" style="23" customWidth="1"/>
    <col min="4883" max="4883" width="29" style="23" customWidth="1"/>
    <col min="4884" max="5123" width="9" style="23"/>
    <col min="5124" max="5124" width="15.28515625" style="23" customWidth="1"/>
    <col min="5125" max="5125" width="83.140625" style="23" bestFit="1" customWidth="1"/>
    <col min="5126" max="5126" width="22" style="23" customWidth="1"/>
    <col min="5127" max="5127" width="102.140625" style="23" bestFit="1" customWidth="1"/>
    <col min="5128" max="5128" width="17.28515625" style="23" customWidth="1"/>
    <col min="5129" max="5129" width="29.85546875" style="23" bestFit="1" customWidth="1"/>
    <col min="5130" max="5130" width="31.140625" style="23" customWidth="1"/>
    <col min="5131" max="5131" width="21.85546875" style="23" customWidth="1"/>
    <col min="5132" max="5132" width="14.140625" style="23" customWidth="1"/>
    <col min="5133" max="5133" width="25.7109375" style="23" customWidth="1"/>
    <col min="5134" max="5134" width="26.7109375" style="23" customWidth="1"/>
    <col min="5135" max="5135" width="58.42578125" style="23" bestFit="1" customWidth="1"/>
    <col min="5136" max="5136" width="12.42578125" style="23" customWidth="1"/>
    <col min="5137" max="5137" width="19.28515625" style="23" customWidth="1"/>
    <col min="5138" max="5138" width="16.5703125" style="23" customWidth="1"/>
    <col min="5139" max="5139" width="29" style="23" customWidth="1"/>
    <col min="5140" max="5379" width="9" style="23"/>
    <col min="5380" max="5380" width="15.28515625" style="23" customWidth="1"/>
    <col min="5381" max="5381" width="83.140625" style="23" bestFit="1" customWidth="1"/>
    <col min="5382" max="5382" width="22" style="23" customWidth="1"/>
    <col min="5383" max="5383" width="102.140625" style="23" bestFit="1" customWidth="1"/>
    <col min="5384" max="5384" width="17.28515625" style="23" customWidth="1"/>
    <col min="5385" max="5385" width="29.85546875" style="23" bestFit="1" customWidth="1"/>
    <col min="5386" max="5386" width="31.140625" style="23" customWidth="1"/>
    <col min="5387" max="5387" width="21.85546875" style="23" customWidth="1"/>
    <col min="5388" max="5388" width="14.140625" style="23" customWidth="1"/>
    <col min="5389" max="5389" width="25.7109375" style="23" customWidth="1"/>
    <col min="5390" max="5390" width="26.7109375" style="23" customWidth="1"/>
    <col min="5391" max="5391" width="58.42578125" style="23" bestFit="1" customWidth="1"/>
    <col min="5392" max="5392" width="12.42578125" style="23" customWidth="1"/>
    <col min="5393" max="5393" width="19.28515625" style="23" customWidth="1"/>
    <col min="5394" max="5394" width="16.5703125" style="23" customWidth="1"/>
    <col min="5395" max="5395" width="29" style="23" customWidth="1"/>
    <col min="5396" max="5635" width="9" style="23"/>
    <col min="5636" max="5636" width="15.28515625" style="23" customWidth="1"/>
    <col min="5637" max="5637" width="83.140625" style="23" bestFit="1" customWidth="1"/>
    <col min="5638" max="5638" width="22" style="23" customWidth="1"/>
    <col min="5639" max="5639" width="102.140625" style="23" bestFit="1" customWidth="1"/>
    <col min="5640" max="5640" width="17.28515625" style="23" customWidth="1"/>
    <col min="5641" max="5641" width="29.85546875" style="23" bestFit="1" customWidth="1"/>
    <col min="5642" max="5642" width="31.140625" style="23" customWidth="1"/>
    <col min="5643" max="5643" width="21.85546875" style="23" customWidth="1"/>
    <col min="5644" max="5644" width="14.140625" style="23" customWidth="1"/>
    <col min="5645" max="5645" width="25.7109375" style="23" customWidth="1"/>
    <col min="5646" max="5646" width="26.7109375" style="23" customWidth="1"/>
    <col min="5647" max="5647" width="58.42578125" style="23" bestFit="1" customWidth="1"/>
    <col min="5648" max="5648" width="12.42578125" style="23" customWidth="1"/>
    <col min="5649" max="5649" width="19.28515625" style="23" customWidth="1"/>
    <col min="5650" max="5650" width="16.5703125" style="23" customWidth="1"/>
    <col min="5651" max="5651" width="29" style="23" customWidth="1"/>
    <col min="5652" max="5891" width="9" style="23"/>
    <col min="5892" max="5892" width="15.28515625" style="23" customWidth="1"/>
    <col min="5893" max="5893" width="83.140625" style="23" bestFit="1" customWidth="1"/>
    <col min="5894" max="5894" width="22" style="23" customWidth="1"/>
    <col min="5895" max="5895" width="102.140625" style="23" bestFit="1" customWidth="1"/>
    <col min="5896" max="5896" width="17.28515625" style="23" customWidth="1"/>
    <col min="5897" max="5897" width="29.85546875" style="23" bestFit="1" customWidth="1"/>
    <col min="5898" max="5898" width="31.140625" style="23" customWidth="1"/>
    <col min="5899" max="5899" width="21.85546875" style="23" customWidth="1"/>
    <col min="5900" max="5900" width="14.140625" style="23" customWidth="1"/>
    <col min="5901" max="5901" width="25.7109375" style="23" customWidth="1"/>
    <col min="5902" max="5902" width="26.7109375" style="23" customWidth="1"/>
    <col min="5903" max="5903" width="58.42578125" style="23" bestFit="1" customWidth="1"/>
    <col min="5904" max="5904" width="12.42578125" style="23" customWidth="1"/>
    <col min="5905" max="5905" width="19.28515625" style="23" customWidth="1"/>
    <col min="5906" max="5906" width="16.5703125" style="23" customWidth="1"/>
    <col min="5907" max="5907" width="29" style="23" customWidth="1"/>
    <col min="5908" max="6147" width="9" style="23"/>
    <col min="6148" max="6148" width="15.28515625" style="23" customWidth="1"/>
    <col min="6149" max="6149" width="83.140625" style="23" bestFit="1" customWidth="1"/>
    <col min="6150" max="6150" width="22" style="23" customWidth="1"/>
    <col min="6151" max="6151" width="102.140625" style="23" bestFit="1" customWidth="1"/>
    <col min="6152" max="6152" width="17.28515625" style="23" customWidth="1"/>
    <col min="6153" max="6153" width="29.85546875" style="23" bestFit="1" customWidth="1"/>
    <col min="6154" max="6154" width="31.140625" style="23" customWidth="1"/>
    <col min="6155" max="6155" width="21.85546875" style="23" customWidth="1"/>
    <col min="6156" max="6156" width="14.140625" style="23" customWidth="1"/>
    <col min="6157" max="6157" width="25.7109375" style="23" customWidth="1"/>
    <col min="6158" max="6158" width="26.7109375" style="23" customWidth="1"/>
    <col min="6159" max="6159" width="58.42578125" style="23" bestFit="1" customWidth="1"/>
    <col min="6160" max="6160" width="12.42578125" style="23" customWidth="1"/>
    <col min="6161" max="6161" width="19.28515625" style="23" customWidth="1"/>
    <col min="6162" max="6162" width="16.5703125" style="23" customWidth="1"/>
    <col min="6163" max="6163" width="29" style="23" customWidth="1"/>
    <col min="6164" max="6403" width="9" style="23"/>
    <col min="6404" max="6404" width="15.28515625" style="23" customWidth="1"/>
    <col min="6405" max="6405" width="83.140625" style="23" bestFit="1" customWidth="1"/>
    <col min="6406" max="6406" width="22" style="23" customWidth="1"/>
    <col min="6407" max="6407" width="102.140625" style="23" bestFit="1" customWidth="1"/>
    <col min="6408" max="6408" width="17.28515625" style="23" customWidth="1"/>
    <col min="6409" max="6409" width="29.85546875" style="23" bestFit="1" customWidth="1"/>
    <col min="6410" max="6410" width="31.140625" style="23" customWidth="1"/>
    <col min="6411" max="6411" width="21.85546875" style="23" customWidth="1"/>
    <col min="6412" max="6412" width="14.140625" style="23" customWidth="1"/>
    <col min="6413" max="6413" width="25.7109375" style="23" customWidth="1"/>
    <col min="6414" max="6414" width="26.7109375" style="23" customWidth="1"/>
    <col min="6415" max="6415" width="58.42578125" style="23" bestFit="1" customWidth="1"/>
    <col min="6416" max="6416" width="12.42578125" style="23" customWidth="1"/>
    <col min="6417" max="6417" width="19.28515625" style="23" customWidth="1"/>
    <col min="6418" max="6418" width="16.5703125" style="23" customWidth="1"/>
    <col min="6419" max="6419" width="29" style="23" customWidth="1"/>
    <col min="6420" max="6659" width="9" style="23"/>
    <col min="6660" max="6660" width="15.28515625" style="23" customWidth="1"/>
    <col min="6661" max="6661" width="83.140625" style="23" bestFit="1" customWidth="1"/>
    <col min="6662" max="6662" width="22" style="23" customWidth="1"/>
    <col min="6663" max="6663" width="102.140625" style="23" bestFit="1" customWidth="1"/>
    <col min="6664" max="6664" width="17.28515625" style="23" customWidth="1"/>
    <col min="6665" max="6665" width="29.85546875" style="23" bestFit="1" customWidth="1"/>
    <col min="6666" max="6666" width="31.140625" style="23" customWidth="1"/>
    <col min="6667" max="6667" width="21.85546875" style="23" customWidth="1"/>
    <col min="6668" max="6668" width="14.140625" style="23" customWidth="1"/>
    <col min="6669" max="6669" width="25.7109375" style="23" customWidth="1"/>
    <col min="6670" max="6670" width="26.7109375" style="23" customWidth="1"/>
    <col min="6671" max="6671" width="58.42578125" style="23" bestFit="1" customWidth="1"/>
    <col min="6672" max="6672" width="12.42578125" style="23" customWidth="1"/>
    <col min="6673" max="6673" width="19.28515625" style="23" customWidth="1"/>
    <col min="6674" max="6674" width="16.5703125" style="23" customWidth="1"/>
    <col min="6675" max="6675" width="29" style="23" customWidth="1"/>
    <col min="6676" max="6915" width="9" style="23"/>
    <col min="6916" max="6916" width="15.28515625" style="23" customWidth="1"/>
    <col min="6917" max="6917" width="83.140625" style="23" bestFit="1" customWidth="1"/>
    <col min="6918" max="6918" width="22" style="23" customWidth="1"/>
    <col min="6919" max="6919" width="102.140625" style="23" bestFit="1" customWidth="1"/>
    <col min="6920" max="6920" width="17.28515625" style="23" customWidth="1"/>
    <col min="6921" max="6921" width="29.85546875" style="23" bestFit="1" customWidth="1"/>
    <col min="6922" max="6922" width="31.140625" style="23" customWidth="1"/>
    <col min="6923" max="6923" width="21.85546875" style="23" customWidth="1"/>
    <col min="6924" max="6924" width="14.140625" style="23" customWidth="1"/>
    <col min="6925" max="6925" width="25.7109375" style="23" customWidth="1"/>
    <col min="6926" max="6926" width="26.7109375" style="23" customWidth="1"/>
    <col min="6927" max="6927" width="58.42578125" style="23" bestFit="1" customWidth="1"/>
    <col min="6928" max="6928" width="12.42578125" style="23" customWidth="1"/>
    <col min="6929" max="6929" width="19.28515625" style="23" customWidth="1"/>
    <col min="6930" max="6930" width="16.5703125" style="23" customWidth="1"/>
    <col min="6931" max="6931" width="29" style="23" customWidth="1"/>
    <col min="6932" max="7171" width="9" style="23"/>
    <col min="7172" max="7172" width="15.28515625" style="23" customWidth="1"/>
    <col min="7173" max="7173" width="83.140625" style="23" bestFit="1" customWidth="1"/>
    <col min="7174" max="7174" width="22" style="23" customWidth="1"/>
    <col min="7175" max="7175" width="102.140625" style="23" bestFit="1" customWidth="1"/>
    <col min="7176" max="7176" width="17.28515625" style="23" customWidth="1"/>
    <col min="7177" max="7177" width="29.85546875" style="23" bestFit="1" customWidth="1"/>
    <col min="7178" max="7178" width="31.140625" style="23" customWidth="1"/>
    <col min="7179" max="7179" width="21.85546875" style="23" customWidth="1"/>
    <col min="7180" max="7180" width="14.140625" style="23" customWidth="1"/>
    <col min="7181" max="7181" width="25.7109375" style="23" customWidth="1"/>
    <col min="7182" max="7182" width="26.7109375" style="23" customWidth="1"/>
    <col min="7183" max="7183" width="58.42578125" style="23" bestFit="1" customWidth="1"/>
    <col min="7184" max="7184" width="12.42578125" style="23" customWidth="1"/>
    <col min="7185" max="7185" width="19.28515625" style="23" customWidth="1"/>
    <col min="7186" max="7186" width="16.5703125" style="23" customWidth="1"/>
    <col min="7187" max="7187" width="29" style="23" customWidth="1"/>
    <col min="7188" max="7427" width="9" style="23"/>
    <col min="7428" max="7428" width="15.28515625" style="23" customWidth="1"/>
    <col min="7429" max="7429" width="83.140625" style="23" bestFit="1" customWidth="1"/>
    <col min="7430" max="7430" width="22" style="23" customWidth="1"/>
    <col min="7431" max="7431" width="102.140625" style="23" bestFit="1" customWidth="1"/>
    <col min="7432" max="7432" width="17.28515625" style="23" customWidth="1"/>
    <col min="7433" max="7433" width="29.85546875" style="23" bestFit="1" customWidth="1"/>
    <col min="7434" max="7434" width="31.140625" style="23" customWidth="1"/>
    <col min="7435" max="7435" width="21.85546875" style="23" customWidth="1"/>
    <col min="7436" max="7436" width="14.140625" style="23" customWidth="1"/>
    <col min="7437" max="7437" width="25.7109375" style="23" customWidth="1"/>
    <col min="7438" max="7438" width="26.7109375" style="23" customWidth="1"/>
    <col min="7439" max="7439" width="58.42578125" style="23" bestFit="1" customWidth="1"/>
    <col min="7440" max="7440" width="12.42578125" style="23" customWidth="1"/>
    <col min="7441" max="7441" width="19.28515625" style="23" customWidth="1"/>
    <col min="7442" max="7442" width="16.5703125" style="23" customWidth="1"/>
    <col min="7443" max="7443" width="29" style="23" customWidth="1"/>
    <col min="7444" max="7683" width="9" style="23"/>
    <col min="7684" max="7684" width="15.28515625" style="23" customWidth="1"/>
    <col min="7685" max="7685" width="83.140625" style="23" bestFit="1" customWidth="1"/>
    <col min="7686" max="7686" width="22" style="23" customWidth="1"/>
    <col min="7687" max="7687" width="102.140625" style="23" bestFit="1" customWidth="1"/>
    <col min="7688" max="7688" width="17.28515625" style="23" customWidth="1"/>
    <col min="7689" max="7689" width="29.85546875" style="23" bestFit="1" customWidth="1"/>
    <col min="7690" max="7690" width="31.140625" style="23" customWidth="1"/>
    <col min="7691" max="7691" width="21.85546875" style="23" customWidth="1"/>
    <col min="7692" max="7692" width="14.140625" style="23" customWidth="1"/>
    <col min="7693" max="7693" width="25.7109375" style="23" customWidth="1"/>
    <col min="7694" max="7694" width="26.7109375" style="23" customWidth="1"/>
    <col min="7695" max="7695" width="58.42578125" style="23" bestFit="1" customWidth="1"/>
    <col min="7696" max="7696" width="12.42578125" style="23" customWidth="1"/>
    <col min="7697" max="7697" width="19.28515625" style="23" customWidth="1"/>
    <col min="7698" max="7698" width="16.5703125" style="23" customWidth="1"/>
    <col min="7699" max="7699" width="29" style="23" customWidth="1"/>
    <col min="7700" max="7939" width="9" style="23"/>
    <col min="7940" max="7940" width="15.28515625" style="23" customWidth="1"/>
    <col min="7941" max="7941" width="83.140625" style="23" bestFit="1" customWidth="1"/>
    <col min="7942" max="7942" width="22" style="23" customWidth="1"/>
    <col min="7943" max="7943" width="102.140625" style="23" bestFit="1" customWidth="1"/>
    <col min="7944" max="7944" width="17.28515625" style="23" customWidth="1"/>
    <col min="7945" max="7945" width="29.85546875" style="23" bestFit="1" customWidth="1"/>
    <col min="7946" max="7946" width="31.140625" style="23" customWidth="1"/>
    <col min="7947" max="7947" width="21.85546875" style="23" customWidth="1"/>
    <col min="7948" max="7948" width="14.140625" style="23" customWidth="1"/>
    <col min="7949" max="7949" width="25.7109375" style="23" customWidth="1"/>
    <col min="7950" max="7950" width="26.7109375" style="23" customWidth="1"/>
    <col min="7951" max="7951" width="58.42578125" style="23" bestFit="1" customWidth="1"/>
    <col min="7952" max="7952" width="12.42578125" style="23" customWidth="1"/>
    <col min="7953" max="7953" width="19.28515625" style="23" customWidth="1"/>
    <col min="7954" max="7954" width="16.5703125" style="23" customWidth="1"/>
    <col min="7955" max="7955" width="29" style="23" customWidth="1"/>
    <col min="7956" max="8195" width="9" style="23"/>
    <col min="8196" max="8196" width="15.28515625" style="23" customWidth="1"/>
    <col min="8197" max="8197" width="83.140625" style="23" bestFit="1" customWidth="1"/>
    <col min="8198" max="8198" width="22" style="23" customWidth="1"/>
    <col min="8199" max="8199" width="102.140625" style="23" bestFit="1" customWidth="1"/>
    <col min="8200" max="8200" width="17.28515625" style="23" customWidth="1"/>
    <col min="8201" max="8201" width="29.85546875" style="23" bestFit="1" customWidth="1"/>
    <col min="8202" max="8202" width="31.140625" style="23" customWidth="1"/>
    <col min="8203" max="8203" width="21.85546875" style="23" customWidth="1"/>
    <col min="8204" max="8204" width="14.140625" style="23" customWidth="1"/>
    <col min="8205" max="8205" width="25.7109375" style="23" customWidth="1"/>
    <col min="8206" max="8206" width="26.7109375" style="23" customWidth="1"/>
    <col min="8207" max="8207" width="58.42578125" style="23" bestFit="1" customWidth="1"/>
    <col min="8208" max="8208" width="12.42578125" style="23" customWidth="1"/>
    <col min="8209" max="8209" width="19.28515625" style="23" customWidth="1"/>
    <col min="8210" max="8210" width="16.5703125" style="23" customWidth="1"/>
    <col min="8211" max="8211" width="29" style="23" customWidth="1"/>
    <col min="8212" max="8451" width="9" style="23"/>
    <col min="8452" max="8452" width="15.28515625" style="23" customWidth="1"/>
    <col min="8453" max="8453" width="83.140625" style="23" bestFit="1" customWidth="1"/>
    <col min="8454" max="8454" width="22" style="23" customWidth="1"/>
    <col min="8455" max="8455" width="102.140625" style="23" bestFit="1" customWidth="1"/>
    <col min="8456" max="8456" width="17.28515625" style="23" customWidth="1"/>
    <col min="8457" max="8457" width="29.85546875" style="23" bestFit="1" customWidth="1"/>
    <col min="8458" max="8458" width="31.140625" style="23" customWidth="1"/>
    <col min="8459" max="8459" width="21.85546875" style="23" customWidth="1"/>
    <col min="8460" max="8460" width="14.140625" style="23" customWidth="1"/>
    <col min="8461" max="8461" width="25.7109375" style="23" customWidth="1"/>
    <col min="8462" max="8462" width="26.7109375" style="23" customWidth="1"/>
    <col min="8463" max="8463" width="58.42578125" style="23" bestFit="1" customWidth="1"/>
    <col min="8464" max="8464" width="12.42578125" style="23" customWidth="1"/>
    <col min="8465" max="8465" width="19.28515625" style="23" customWidth="1"/>
    <col min="8466" max="8466" width="16.5703125" style="23" customWidth="1"/>
    <col min="8467" max="8467" width="29" style="23" customWidth="1"/>
    <col min="8468" max="8707" width="9" style="23"/>
    <col min="8708" max="8708" width="15.28515625" style="23" customWidth="1"/>
    <col min="8709" max="8709" width="83.140625" style="23" bestFit="1" customWidth="1"/>
    <col min="8710" max="8710" width="22" style="23" customWidth="1"/>
    <col min="8711" max="8711" width="102.140625" style="23" bestFit="1" customWidth="1"/>
    <col min="8712" max="8712" width="17.28515625" style="23" customWidth="1"/>
    <col min="8713" max="8713" width="29.85546875" style="23" bestFit="1" customWidth="1"/>
    <col min="8714" max="8714" width="31.140625" style="23" customWidth="1"/>
    <col min="8715" max="8715" width="21.85546875" style="23" customWidth="1"/>
    <col min="8716" max="8716" width="14.140625" style="23" customWidth="1"/>
    <col min="8717" max="8717" width="25.7109375" style="23" customWidth="1"/>
    <col min="8718" max="8718" width="26.7109375" style="23" customWidth="1"/>
    <col min="8719" max="8719" width="58.42578125" style="23" bestFit="1" customWidth="1"/>
    <col min="8720" max="8720" width="12.42578125" style="23" customWidth="1"/>
    <col min="8721" max="8721" width="19.28515625" style="23" customWidth="1"/>
    <col min="8722" max="8722" width="16.5703125" style="23" customWidth="1"/>
    <col min="8723" max="8723" width="29" style="23" customWidth="1"/>
    <col min="8724" max="8963" width="9" style="23"/>
    <col min="8964" max="8964" width="15.28515625" style="23" customWidth="1"/>
    <col min="8965" max="8965" width="83.140625" style="23" bestFit="1" customWidth="1"/>
    <col min="8966" max="8966" width="22" style="23" customWidth="1"/>
    <col min="8967" max="8967" width="102.140625" style="23" bestFit="1" customWidth="1"/>
    <col min="8968" max="8968" width="17.28515625" style="23" customWidth="1"/>
    <col min="8969" max="8969" width="29.85546875" style="23" bestFit="1" customWidth="1"/>
    <col min="8970" max="8970" width="31.140625" style="23" customWidth="1"/>
    <col min="8971" max="8971" width="21.85546875" style="23" customWidth="1"/>
    <col min="8972" max="8972" width="14.140625" style="23" customWidth="1"/>
    <col min="8973" max="8973" width="25.7109375" style="23" customWidth="1"/>
    <col min="8974" max="8974" width="26.7109375" style="23" customWidth="1"/>
    <col min="8975" max="8975" width="58.42578125" style="23" bestFit="1" customWidth="1"/>
    <col min="8976" max="8976" width="12.42578125" style="23" customWidth="1"/>
    <col min="8977" max="8977" width="19.28515625" style="23" customWidth="1"/>
    <col min="8978" max="8978" width="16.5703125" style="23" customWidth="1"/>
    <col min="8979" max="8979" width="29" style="23" customWidth="1"/>
    <col min="8980" max="9219" width="9" style="23"/>
    <col min="9220" max="9220" width="15.28515625" style="23" customWidth="1"/>
    <col min="9221" max="9221" width="83.140625" style="23" bestFit="1" customWidth="1"/>
    <col min="9222" max="9222" width="22" style="23" customWidth="1"/>
    <col min="9223" max="9223" width="102.140625" style="23" bestFit="1" customWidth="1"/>
    <col min="9224" max="9224" width="17.28515625" style="23" customWidth="1"/>
    <col min="9225" max="9225" width="29.85546875" style="23" bestFit="1" customWidth="1"/>
    <col min="9226" max="9226" width="31.140625" style="23" customWidth="1"/>
    <col min="9227" max="9227" width="21.85546875" style="23" customWidth="1"/>
    <col min="9228" max="9228" width="14.140625" style="23" customWidth="1"/>
    <col min="9229" max="9229" width="25.7109375" style="23" customWidth="1"/>
    <col min="9230" max="9230" width="26.7109375" style="23" customWidth="1"/>
    <col min="9231" max="9231" width="58.42578125" style="23" bestFit="1" customWidth="1"/>
    <col min="9232" max="9232" width="12.42578125" style="23" customWidth="1"/>
    <col min="9233" max="9233" width="19.28515625" style="23" customWidth="1"/>
    <col min="9234" max="9234" width="16.5703125" style="23" customWidth="1"/>
    <col min="9235" max="9235" width="29" style="23" customWidth="1"/>
    <col min="9236" max="9475" width="9" style="23"/>
    <col min="9476" max="9476" width="15.28515625" style="23" customWidth="1"/>
    <col min="9477" max="9477" width="83.140625" style="23" bestFit="1" customWidth="1"/>
    <col min="9478" max="9478" width="22" style="23" customWidth="1"/>
    <col min="9479" max="9479" width="102.140625" style="23" bestFit="1" customWidth="1"/>
    <col min="9480" max="9480" width="17.28515625" style="23" customWidth="1"/>
    <col min="9481" max="9481" width="29.85546875" style="23" bestFit="1" customWidth="1"/>
    <col min="9482" max="9482" width="31.140625" style="23" customWidth="1"/>
    <col min="9483" max="9483" width="21.85546875" style="23" customWidth="1"/>
    <col min="9484" max="9484" width="14.140625" style="23" customWidth="1"/>
    <col min="9485" max="9485" width="25.7109375" style="23" customWidth="1"/>
    <col min="9486" max="9486" width="26.7109375" style="23" customWidth="1"/>
    <col min="9487" max="9487" width="58.42578125" style="23" bestFit="1" customWidth="1"/>
    <col min="9488" max="9488" width="12.42578125" style="23" customWidth="1"/>
    <col min="9489" max="9489" width="19.28515625" style="23" customWidth="1"/>
    <col min="9490" max="9490" width="16.5703125" style="23" customWidth="1"/>
    <col min="9491" max="9491" width="29" style="23" customWidth="1"/>
    <col min="9492" max="9731" width="9" style="23"/>
    <col min="9732" max="9732" width="15.28515625" style="23" customWidth="1"/>
    <col min="9733" max="9733" width="83.140625" style="23" bestFit="1" customWidth="1"/>
    <col min="9734" max="9734" width="22" style="23" customWidth="1"/>
    <col min="9735" max="9735" width="102.140625" style="23" bestFit="1" customWidth="1"/>
    <col min="9736" max="9736" width="17.28515625" style="23" customWidth="1"/>
    <col min="9737" max="9737" width="29.85546875" style="23" bestFit="1" customWidth="1"/>
    <col min="9738" max="9738" width="31.140625" style="23" customWidth="1"/>
    <col min="9739" max="9739" width="21.85546875" style="23" customWidth="1"/>
    <col min="9740" max="9740" width="14.140625" style="23" customWidth="1"/>
    <col min="9741" max="9741" width="25.7109375" style="23" customWidth="1"/>
    <col min="9742" max="9742" width="26.7109375" style="23" customWidth="1"/>
    <col min="9743" max="9743" width="58.42578125" style="23" bestFit="1" customWidth="1"/>
    <col min="9744" max="9744" width="12.42578125" style="23" customWidth="1"/>
    <col min="9745" max="9745" width="19.28515625" style="23" customWidth="1"/>
    <col min="9746" max="9746" width="16.5703125" style="23" customWidth="1"/>
    <col min="9747" max="9747" width="29" style="23" customWidth="1"/>
    <col min="9748" max="9987" width="9" style="23"/>
    <col min="9988" max="9988" width="15.28515625" style="23" customWidth="1"/>
    <col min="9989" max="9989" width="83.140625" style="23" bestFit="1" customWidth="1"/>
    <col min="9990" max="9990" width="22" style="23" customWidth="1"/>
    <col min="9991" max="9991" width="102.140625" style="23" bestFit="1" customWidth="1"/>
    <col min="9992" max="9992" width="17.28515625" style="23" customWidth="1"/>
    <col min="9993" max="9993" width="29.85546875" style="23" bestFit="1" customWidth="1"/>
    <col min="9994" max="9994" width="31.140625" style="23" customWidth="1"/>
    <col min="9995" max="9995" width="21.85546875" style="23" customWidth="1"/>
    <col min="9996" max="9996" width="14.140625" style="23" customWidth="1"/>
    <col min="9997" max="9997" width="25.7109375" style="23" customWidth="1"/>
    <col min="9998" max="9998" width="26.7109375" style="23" customWidth="1"/>
    <col min="9999" max="9999" width="58.42578125" style="23" bestFit="1" customWidth="1"/>
    <col min="10000" max="10000" width="12.42578125" style="23" customWidth="1"/>
    <col min="10001" max="10001" width="19.28515625" style="23" customWidth="1"/>
    <col min="10002" max="10002" width="16.5703125" style="23" customWidth="1"/>
    <col min="10003" max="10003" width="29" style="23" customWidth="1"/>
    <col min="10004" max="10243" width="9" style="23"/>
    <col min="10244" max="10244" width="15.28515625" style="23" customWidth="1"/>
    <col min="10245" max="10245" width="83.140625" style="23" bestFit="1" customWidth="1"/>
    <col min="10246" max="10246" width="22" style="23" customWidth="1"/>
    <col min="10247" max="10247" width="102.140625" style="23" bestFit="1" customWidth="1"/>
    <col min="10248" max="10248" width="17.28515625" style="23" customWidth="1"/>
    <col min="10249" max="10249" width="29.85546875" style="23" bestFit="1" customWidth="1"/>
    <col min="10250" max="10250" width="31.140625" style="23" customWidth="1"/>
    <col min="10251" max="10251" width="21.85546875" style="23" customWidth="1"/>
    <col min="10252" max="10252" width="14.140625" style="23" customWidth="1"/>
    <col min="10253" max="10253" width="25.7109375" style="23" customWidth="1"/>
    <col min="10254" max="10254" width="26.7109375" style="23" customWidth="1"/>
    <col min="10255" max="10255" width="58.42578125" style="23" bestFit="1" customWidth="1"/>
    <col min="10256" max="10256" width="12.42578125" style="23" customWidth="1"/>
    <col min="10257" max="10257" width="19.28515625" style="23" customWidth="1"/>
    <col min="10258" max="10258" width="16.5703125" style="23" customWidth="1"/>
    <col min="10259" max="10259" width="29" style="23" customWidth="1"/>
    <col min="10260" max="10499" width="9" style="23"/>
    <col min="10500" max="10500" width="15.28515625" style="23" customWidth="1"/>
    <col min="10501" max="10501" width="83.140625" style="23" bestFit="1" customWidth="1"/>
    <col min="10502" max="10502" width="22" style="23" customWidth="1"/>
    <col min="10503" max="10503" width="102.140625" style="23" bestFit="1" customWidth="1"/>
    <col min="10504" max="10504" width="17.28515625" style="23" customWidth="1"/>
    <col min="10505" max="10505" width="29.85546875" style="23" bestFit="1" customWidth="1"/>
    <col min="10506" max="10506" width="31.140625" style="23" customWidth="1"/>
    <col min="10507" max="10507" width="21.85546875" style="23" customWidth="1"/>
    <col min="10508" max="10508" width="14.140625" style="23" customWidth="1"/>
    <col min="10509" max="10509" width="25.7109375" style="23" customWidth="1"/>
    <col min="10510" max="10510" width="26.7109375" style="23" customWidth="1"/>
    <col min="10511" max="10511" width="58.42578125" style="23" bestFit="1" customWidth="1"/>
    <col min="10512" max="10512" width="12.42578125" style="23" customWidth="1"/>
    <col min="10513" max="10513" width="19.28515625" style="23" customWidth="1"/>
    <col min="10514" max="10514" width="16.5703125" style="23" customWidth="1"/>
    <col min="10515" max="10515" width="29" style="23" customWidth="1"/>
    <col min="10516" max="10755" width="9" style="23"/>
    <col min="10756" max="10756" width="15.28515625" style="23" customWidth="1"/>
    <col min="10757" max="10757" width="83.140625" style="23" bestFit="1" customWidth="1"/>
    <col min="10758" max="10758" width="22" style="23" customWidth="1"/>
    <col min="10759" max="10759" width="102.140625" style="23" bestFit="1" customWidth="1"/>
    <col min="10760" max="10760" width="17.28515625" style="23" customWidth="1"/>
    <col min="10761" max="10761" width="29.85546875" style="23" bestFit="1" customWidth="1"/>
    <col min="10762" max="10762" width="31.140625" style="23" customWidth="1"/>
    <col min="10763" max="10763" width="21.85546875" style="23" customWidth="1"/>
    <col min="10764" max="10764" width="14.140625" style="23" customWidth="1"/>
    <col min="10765" max="10765" width="25.7109375" style="23" customWidth="1"/>
    <col min="10766" max="10766" width="26.7109375" style="23" customWidth="1"/>
    <col min="10767" max="10767" width="58.42578125" style="23" bestFit="1" customWidth="1"/>
    <col min="10768" max="10768" width="12.42578125" style="23" customWidth="1"/>
    <col min="10769" max="10769" width="19.28515625" style="23" customWidth="1"/>
    <col min="10770" max="10770" width="16.5703125" style="23" customWidth="1"/>
    <col min="10771" max="10771" width="29" style="23" customWidth="1"/>
    <col min="10772" max="11011" width="9" style="23"/>
    <col min="11012" max="11012" width="15.28515625" style="23" customWidth="1"/>
    <col min="11013" max="11013" width="83.140625" style="23" bestFit="1" customWidth="1"/>
    <col min="11014" max="11014" width="22" style="23" customWidth="1"/>
    <col min="11015" max="11015" width="102.140625" style="23" bestFit="1" customWidth="1"/>
    <col min="11016" max="11016" width="17.28515625" style="23" customWidth="1"/>
    <col min="11017" max="11017" width="29.85546875" style="23" bestFit="1" customWidth="1"/>
    <col min="11018" max="11018" width="31.140625" style="23" customWidth="1"/>
    <col min="11019" max="11019" width="21.85546875" style="23" customWidth="1"/>
    <col min="11020" max="11020" width="14.140625" style="23" customWidth="1"/>
    <col min="11021" max="11021" width="25.7109375" style="23" customWidth="1"/>
    <col min="11022" max="11022" width="26.7109375" style="23" customWidth="1"/>
    <col min="11023" max="11023" width="58.42578125" style="23" bestFit="1" customWidth="1"/>
    <col min="11024" max="11024" width="12.42578125" style="23" customWidth="1"/>
    <col min="11025" max="11025" width="19.28515625" style="23" customWidth="1"/>
    <col min="11026" max="11026" width="16.5703125" style="23" customWidth="1"/>
    <col min="11027" max="11027" width="29" style="23" customWidth="1"/>
    <col min="11028" max="11267" width="9" style="23"/>
    <col min="11268" max="11268" width="15.28515625" style="23" customWidth="1"/>
    <col min="11269" max="11269" width="83.140625" style="23" bestFit="1" customWidth="1"/>
    <col min="11270" max="11270" width="22" style="23" customWidth="1"/>
    <col min="11271" max="11271" width="102.140625" style="23" bestFit="1" customWidth="1"/>
    <col min="11272" max="11272" width="17.28515625" style="23" customWidth="1"/>
    <col min="11273" max="11273" width="29.85546875" style="23" bestFit="1" customWidth="1"/>
    <col min="11274" max="11274" width="31.140625" style="23" customWidth="1"/>
    <col min="11275" max="11275" width="21.85546875" style="23" customWidth="1"/>
    <col min="11276" max="11276" width="14.140625" style="23" customWidth="1"/>
    <col min="11277" max="11277" width="25.7109375" style="23" customWidth="1"/>
    <col min="11278" max="11278" width="26.7109375" style="23" customWidth="1"/>
    <col min="11279" max="11279" width="58.42578125" style="23" bestFit="1" customWidth="1"/>
    <col min="11280" max="11280" width="12.42578125" style="23" customWidth="1"/>
    <col min="11281" max="11281" width="19.28515625" style="23" customWidth="1"/>
    <col min="11282" max="11282" width="16.5703125" style="23" customWidth="1"/>
    <col min="11283" max="11283" width="29" style="23" customWidth="1"/>
    <col min="11284" max="11523" width="9" style="23"/>
    <col min="11524" max="11524" width="15.28515625" style="23" customWidth="1"/>
    <col min="11525" max="11525" width="83.140625" style="23" bestFit="1" customWidth="1"/>
    <col min="11526" max="11526" width="22" style="23" customWidth="1"/>
    <col min="11527" max="11527" width="102.140625" style="23" bestFit="1" customWidth="1"/>
    <col min="11528" max="11528" width="17.28515625" style="23" customWidth="1"/>
    <col min="11529" max="11529" width="29.85546875" style="23" bestFit="1" customWidth="1"/>
    <col min="11530" max="11530" width="31.140625" style="23" customWidth="1"/>
    <col min="11531" max="11531" width="21.85546875" style="23" customWidth="1"/>
    <col min="11532" max="11532" width="14.140625" style="23" customWidth="1"/>
    <col min="11533" max="11533" width="25.7109375" style="23" customWidth="1"/>
    <col min="11534" max="11534" width="26.7109375" style="23" customWidth="1"/>
    <col min="11535" max="11535" width="58.42578125" style="23" bestFit="1" customWidth="1"/>
    <col min="11536" max="11536" width="12.42578125" style="23" customWidth="1"/>
    <col min="11537" max="11537" width="19.28515625" style="23" customWidth="1"/>
    <col min="11538" max="11538" width="16.5703125" style="23" customWidth="1"/>
    <col min="11539" max="11539" width="29" style="23" customWidth="1"/>
    <col min="11540" max="11779" width="9" style="23"/>
    <col min="11780" max="11780" width="15.28515625" style="23" customWidth="1"/>
    <col min="11781" max="11781" width="83.140625" style="23" bestFit="1" customWidth="1"/>
    <col min="11782" max="11782" width="22" style="23" customWidth="1"/>
    <col min="11783" max="11783" width="102.140625" style="23" bestFit="1" customWidth="1"/>
    <col min="11784" max="11784" width="17.28515625" style="23" customWidth="1"/>
    <col min="11785" max="11785" width="29.85546875" style="23" bestFit="1" customWidth="1"/>
    <col min="11786" max="11786" width="31.140625" style="23" customWidth="1"/>
    <col min="11787" max="11787" width="21.85546875" style="23" customWidth="1"/>
    <col min="11788" max="11788" width="14.140625" style="23" customWidth="1"/>
    <col min="11789" max="11789" width="25.7109375" style="23" customWidth="1"/>
    <col min="11790" max="11790" width="26.7109375" style="23" customWidth="1"/>
    <col min="11791" max="11791" width="58.42578125" style="23" bestFit="1" customWidth="1"/>
    <col min="11792" max="11792" width="12.42578125" style="23" customWidth="1"/>
    <col min="11793" max="11793" width="19.28515625" style="23" customWidth="1"/>
    <col min="11794" max="11794" width="16.5703125" style="23" customWidth="1"/>
    <col min="11795" max="11795" width="29" style="23" customWidth="1"/>
    <col min="11796" max="12035" width="9" style="23"/>
    <col min="12036" max="12036" width="15.28515625" style="23" customWidth="1"/>
    <col min="12037" max="12037" width="83.140625" style="23" bestFit="1" customWidth="1"/>
    <col min="12038" max="12038" width="22" style="23" customWidth="1"/>
    <col min="12039" max="12039" width="102.140625" style="23" bestFit="1" customWidth="1"/>
    <col min="12040" max="12040" width="17.28515625" style="23" customWidth="1"/>
    <col min="12041" max="12041" width="29.85546875" style="23" bestFit="1" customWidth="1"/>
    <col min="12042" max="12042" width="31.140625" style="23" customWidth="1"/>
    <col min="12043" max="12043" width="21.85546875" style="23" customWidth="1"/>
    <col min="12044" max="12044" width="14.140625" style="23" customWidth="1"/>
    <col min="12045" max="12045" width="25.7109375" style="23" customWidth="1"/>
    <col min="12046" max="12046" width="26.7109375" style="23" customWidth="1"/>
    <col min="12047" max="12047" width="58.42578125" style="23" bestFit="1" customWidth="1"/>
    <col min="12048" max="12048" width="12.42578125" style="23" customWidth="1"/>
    <col min="12049" max="12049" width="19.28515625" style="23" customWidth="1"/>
    <col min="12050" max="12050" width="16.5703125" style="23" customWidth="1"/>
    <col min="12051" max="12051" width="29" style="23" customWidth="1"/>
    <col min="12052" max="12291" width="9" style="23"/>
    <col min="12292" max="12292" width="15.28515625" style="23" customWidth="1"/>
    <col min="12293" max="12293" width="83.140625" style="23" bestFit="1" customWidth="1"/>
    <col min="12294" max="12294" width="22" style="23" customWidth="1"/>
    <col min="12295" max="12295" width="102.140625" style="23" bestFit="1" customWidth="1"/>
    <col min="12296" max="12296" width="17.28515625" style="23" customWidth="1"/>
    <col min="12297" max="12297" width="29.85546875" style="23" bestFit="1" customWidth="1"/>
    <col min="12298" max="12298" width="31.140625" style="23" customWidth="1"/>
    <col min="12299" max="12299" width="21.85546875" style="23" customWidth="1"/>
    <col min="12300" max="12300" width="14.140625" style="23" customWidth="1"/>
    <col min="12301" max="12301" width="25.7109375" style="23" customWidth="1"/>
    <col min="12302" max="12302" width="26.7109375" style="23" customWidth="1"/>
    <col min="12303" max="12303" width="58.42578125" style="23" bestFit="1" customWidth="1"/>
    <col min="12304" max="12304" width="12.42578125" style="23" customWidth="1"/>
    <col min="12305" max="12305" width="19.28515625" style="23" customWidth="1"/>
    <col min="12306" max="12306" width="16.5703125" style="23" customWidth="1"/>
    <col min="12307" max="12307" width="29" style="23" customWidth="1"/>
    <col min="12308" max="12547" width="9" style="23"/>
    <col min="12548" max="12548" width="15.28515625" style="23" customWidth="1"/>
    <col min="12549" max="12549" width="83.140625" style="23" bestFit="1" customWidth="1"/>
    <col min="12550" max="12550" width="22" style="23" customWidth="1"/>
    <col min="12551" max="12551" width="102.140625" style="23" bestFit="1" customWidth="1"/>
    <col min="12552" max="12552" width="17.28515625" style="23" customWidth="1"/>
    <col min="12553" max="12553" width="29.85546875" style="23" bestFit="1" customWidth="1"/>
    <col min="12554" max="12554" width="31.140625" style="23" customWidth="1"/>
    <col min="12555" max="12555" width="21.85546875" style="23" customWidth="1"/>
    <col min="12556" max="12556" width="14.140625" style="23" customWidth="1"/>
    <col min="12557" max="12557" width="25.7109375" style="23" customWidth="1"/>
    <col min="12558" max="12558" width="26.7109375" style="23" customWidth="1"/>
    <col min="12559" max="12559" width="58.42578125" style="23" bestFit="1" customWidth="1"/>
    <col min="12560" max="12560" width="12.42578125" style="23" customWidth="1"/>
    <col min="12561" max="12561" width="19.28515625" style="23" customWidth="1"/>
    <col min="12562" max="12562" width="16.5703125" style="23" customWidth="1"/>
    <col min="12563" max="12563" width="29" style="23" customWidth="1"/>
    <col min="12564" max="12803" width="9" style="23"/>
    <col min="12804" max="12804" width="15.28515625" style="23" customWidth="1"/>
    <col min="12805" max="12805" width="83.140625" style="23" bestFit="1" customWidth="1"/>
    <col min="12806" max="12806" width="22" style="23" customWidth="1"/>
    <col min="12807" max="12807" width="102.140625" style="23" bestFit="1" customWidth="1"/>
    <col min="12808" max="12808" width="17.28515625" style="23" customWidth="1"/>
    <col min="12809" max="12809" width="29.85546875" style="23" bestFit="1" customWidth="1"/>
    <col min="12810" max="12810" width="31.140625" style="23" customWidth="1"/>
    <col min="12811" max="12811" width="21.85546875" style="23" customWidth="1"/>
    <col min="12812" max="12812" width="14.140625" style="23" customWidth="1"/>
    <col min="12813" max="12813" width="25.7109375" style="23" customWidth="1"/>
    <col min="12814" max="12814" width="26.7109375" style="23" customWidth="1"/>
    <col min="12815" max="12815" width="58.42578125" style="23" bestFit="1" customWidth="1"/>
    <col min="12816" max="12816" width="12.42578125" style="23" customWidth="1"/>
    <col min="12817" max="12817" width="19.28515625" style="23" customWidth="1"/>
    <col min="12818" max="12818" width="16.5703125" style="23" customWidth="1"/>
    <col min="12819" max="12819" width="29" style="23" customWidth="1"/>
    <col min="12820" max="13059" width="9" style="23"/>
    <col min="13060" max="13060" width="15.28515625" style="23" customWidth="1"/>
    <col min="13061" max="13061" width="83.140625" style="23" bestFit="1" customWidth="1"/>
    <col min="13062" max="13062" width="22" style="23" customWidth="1"/>
    <col min="13063" max="13063" width="102.140625" style="23" bestFit="1" customWidth="1"/>
    <col min="13064" max="13064" width="17.28515625" style="23" customWidth="1"/>
    <col min="13065" max="13065" width="29.85546875" style="23" bestFit="1" customWidth="1"/>
    <col min="13066" max="13066" width="31.140625" style="23" customWidth="1"/>
    <col min="13067" max="13067" width="21.85546875" style="23" customWidth="1"/>
    <col min="13068" max="13068" width="14.140625" style="23" customWidth="1"/>
    <col min="13069" max="13069" width="25.7109375" style="23" customWidth="1"/>
    <col min="13070" max="13070" width="26.7109375" style="23" customWidth="1"/>
    <col min="13071" max="13071" width="58.42578125" style="23" bestFit="1" customWidth="1"/>
    <col min="13072" max="13072" width="12.42578125" style="23" customWidth="1"/>
    <col min="13073" max="13073" width="19.28515625" style="23" customWidth="1"/>
    <col min="13074" max="13074" width="16.5703125" style="23" customWidth="1"/>
    <col min="13075" max="13075" width="29" style="23" customWidth="1"/>
    <col min="13076" max="13315" width="9" style="23"/>
    <col min="13316" max="13316" width="15.28515625" style="23" customWidth="1"/>
    <col min="13317" max="13317" width="83.140625" style="23" bestFit="1" customWidth="1"/>
    <col min="13318" max="13318" width="22" style="23" customWidth="1"/>
    <col min="13319" max="13319" width="102.140625" style="23" bestFit="1" customWidth="1"/>
    <col min="13320" max="13320" width="17.28515625" style="23" customWidth="1"/>
    <col min="13321" max="13321" width="29.85546875" style="23" bestFit="1" customWidth="1"/>
    <col min="13322" max="13322" width="31.140625" style="23" customWidth="1"/>
    <col min="13323" max="13323" width="21.85546875" style="23" customWidth="1"/>
    <col min="13324" max="13324" width="14.140625" style="23" customWidth="1"/>
    <col min="13325" max="13325" width="25.7109375" style="23" customWidth="1"/>
    <col min="13326" max="13326" width="26.7109375" style="23" customWidth="1"/>
    <col min="13327" max="13327" width="58.42578125" style="23" bestFit="1" customWidth="1"/>
    <col min="13328" max="13328" width="12.42578125" style="23" customWidth="1"/>
    <col min="13329" max="13329" width="19.28515625" style="23" customWidth="1"/>
    <col min="13330" max="13330" width="16.5703125" style="23" customWidth="1"/>
    <col min="13331" max="13331" width="29" style="23" customWidth="1"/>
    <col min="13332" max="13571" width="9" style="23"/>
    <col min="13572" max="13572" width="15.28515625" style="23" customWidth="1"/>
    <col min="13573" max="13573" width="83.140625" style="23" bestFit="1" customWidth="1"/>
    <col min="13574" max="13574" width="22" style="23" customWidth="1"/>
    <col min="13575" max="13575" width="102.140625" style="23" bestFit="1" customWidth="1"/>
    <col min="13576" max="13576" width="17.28515625" style="23" customWidth="1"/>
    <col min="13577" max="13577" width="29.85546875" style="23" bestFit="1" customWidth="1"/>
    <col min="13578" max="13578" width="31.140625" style="23" customWidth="1"/>
    <col min="13579" max="13579" width="21.85546875" style="23" customWidth="1"/>
    <col min="13580" max="13580" width="14.140625" style="23" customWidth="1"/>
    <col min="13581" max="13581" width="25.7109375" style="23" customWidth="1"/>
    <col min="13582" max="13582" width="26.7109375" style="23" customWidth="1"/>
    <col min="13583" max="13583" width="58.42578125" style="23" bestFit="1" customWidth="1"/>
    <col min="13584" max="13584" width="12.42578125" style="23" customWidth="1"/>
    <col min="13585" max="13585" width="19.28515625" style="23" customWidth="1"/>
    <col min="13586" max="13586" width="16.5703125" style="23" customWidth="1"/>
    <col min="13587" max="13587" width="29" style="23" customWidth="1"/>
    <col min="13588" max="13827" width="9" style="23"/>
    <col min="13828" max="13828" width="15.28515625" style="23" customWidth="1"/>
    <col min="13829" max="13829" width="83.140625" style="23" bestFit="1" customWidth="1"/>
    <col min="13830" max="13830" width="22" style="23" customWidth="1"/>
    <col min="13831" max="13831" width="102.140625" style="23" bestFit="1" customWidth="1"/>
    <col min="13832" max="13832" width="17.28515625" style="23" customWidth="1"/>
    <col min="13833" max="13833" width="29.85546875" style="23" bestFit="1" customWidth="1"/>
    <col min="13834" max="13834" width="31.140625" style="23" customWidth="1"/>
    <col min="13835" max="13835" width="21.85546875" style="23" customWidth="1"/>
    <col min="13836" max="13836" width="14.140625" style="23" customWidth="1"/>
    <col min="13837" max="13837" width="25.7109375" style="23" customWidth="1"/>
    <col min="13838" max="13838" width="26.7109375" style="23" customWidth="1"/>
    <col min="13839" max="13839" width="58.42578125" style="23" bestFit="1" customWidth="1"/>
    <col min="13840" max="13840" width="12.42578125" style="23" customWidth="1"/>
    <col min="13841" max="13841" width="19.28515625" style="23" customWidth="1"/>
    <col min="13842" max="13842" width="16.5703125" style="23" customWidth="1"/>
    <col min="13843" max="13843" width="29" style="23" customWidth="1"/>
    <col min="13844" max="14083" width="9" style="23"/>
    <col min="14084" max="14084" width="15.28515625" style="23" customWidth="1"/>
    <col min="14085" max="14085" width="83.140625" style="23" bestFit="1" customWidth="1"/>
    <col min="14086" max="14086" width="22" style="23" customWidth="1"/>
    <col min="14087" max="14087" width="102.140625" style="23" bestFit="1" customWidth="1"/>
    <col min="14088" max="14088" width="17.28515625" style="23" customWidth="1"/>
    <col min="14089" max="14089" width="29.85546875" style="23" bestFit="1" customWidth="1"/>
    <col min="14090" max="14090" width="31.140625" style="23" customWidth="1"/>
    <col min="14091" max="14091" width="21.85546875" style="23" customWidth="1"/>
    <col min="14092" max="14092" width="14.140625" style="23" customWidth="1"/>
    <col min="14093" max="14093" width="25.7109375" style="23" customWidth="1"/>
    <col min="14094" max="14094" width="26.7109375" style="23" customWidth="1"/>
    <col min="14095" max="14095" width="58.42578125" style="23" bestFit="1" customWidth="1"/>
    <col min="14096" max="14096" width="12.42578125" style="23" customWidth="1"/>
    <col min="14097" max="14097" width="19.28515625" style="23" customWidth="1"/>
    <col min="14098" max="14098" width="16.5703125" style="23" customWidth="1"/>
    <col min="14099" max="14099" width="29" style="23" customWidth="1"/>
    <col min="14100" max="14339" width="9" style="23"/>
    <col min="14340" max="14340" width="15.28515625" style="23" customWidth="1"/>
    <col min="14341" max="14341" width="83.140625" style="23" bestFit="1" customWidth="1"/>
    <col min="14342" max="14342" width="22" style="23" customWidth="1"/>
    <col min="14343" max="14343" width="102.140625" style="23" bestFit="1" customWidth="1"/>
    <col min="14344" max="14344" width="17.28515625" style="23" customWidth="1"/>
    <col min="14345" max="14345" width="29.85546875" style="23" bestFit="1" customWidth="1"/>
    <col min="14346" max="14346" width="31.140625" style="23" customWidth="1"/>
    <col min="14347" max="14347" width="21.85546875" style="23" customWidth="1"/>
    <col min="14348" max="14348" width="14.140625" style="23" customWidth="1"/>
    <col min="14349" max="14349" width="25.7109375" style="23" customWidth="1"/>
    <col min="14350" max="14350" width="26.7109375" style="23" customWidth="1"/>
    <col min="14351" max="14351" width="58.42578125" style="23" bestFit="1" customWidth="1"/>
    <col min="14352" max="14352" width="12.42578125" style="23" customWidth="1"/>
    <col min="14353" max="14353" width="19.28515625" style="23" customWidth="1"/>
    <col min="14354" max="14354" width="16.5703125" style="23" customWidth="1"/>
    <col min="14355" max="14355" width="29" style="23" customWidth="1"/>
    <col min="14356" max="14595" width="9" style="23"/>
    <col min="14596" max="14596" width="15.28515625" style="23" customWidth="1"/>
    <col min="14597" max="14597" width="83.140625" style="23" bestFit="1" customWidth="1"/>
    <col min="14598" max="14598" width="22" style="23" customWidth="1"/>
    <col min="14599" max="14599" width="102.140625" style="23" bestFit="1" customWidth="1"/>
    <col min="14600" max="14600" width="17.28515625" style="23" customWidth="1"/>
    <col min="14601" max="14601" width="29.85546875" style="23" bestFit="1" customWidth="1"/>
    <col min="14602" max="14602" width="31.140625" style="23" customWidth="1"/>
    <col min="14603" max="14603" width="21.85546875" style="23" customWidth="1"/>
    <col min="14604" max="14604" width="14.140625" style="23" customWidth="1"/>
    <col min="14605" max="14605" width="25.7109375" style="23" customWidth="1"/>
    <col min="14606" max="14606" width="26.7109375" style="23" customWidth="1"/>
    <col min="14607" max="14607" width="58.42578125" style="23" bestFit="1" customWidth="1"/>
    <col min="14608" max="14608" width="12.42578125" style="23" customWidth="1"/>
    <col min="14609" max="14609" width="19.28515625" style="23" customWidth="1"/>
    <col min="14610" max="14610" width="16.5703125" style="23" customWidth="1"/>
    <col min="14611" max="14611" width="29" style="23" customWidth="1"/>
    <col min="14612" max="14851" width="9" style="23"/>
    <col min="14852" max="14852" width="15.28515625" style="23" customWidth="1"/>
    <col min="14853" max="14853" width="83.140625" style="23" bestFit="1" customWidth="1"/>
    <col min="14854" max="14854" width="22" style="23" customWidth="1"/>
    <col min="14855" max="14855" width="102.140625" style="23" bestFit="1" customWidth="1"/>
    <col min="14856" max="14856" width="17.28515625" style="23" customWidth="1"/>
    <col min="14857" max="14857" width="29.85546875" style="23" bestFit="1" customWidth="1"/>
    <col min="14858" max="14858" width="31.140625" style="23" customWidth="1"/>
    <col min="14859" max="14859" width="21.85546875" style="23" customWidth="1"/>
    <col min="14860" max="14860" width="14.140625" style="23" customWidth="1"/>
    <col min="14861" max="14861" width="25.7109375" style="23" customWidth="1"/>
    <col min="14862" max="14862" width="26.7109375" style="23" customWidth="1"/>
    <col min="14863" max="14863" width="58.42578125" style="23" bestFit="1" customWidth="1"/>
    <col min="14864" max="14864" width="12.42578125" style="23" customWidth="1"/>
    <col min="14865" max="14865" width="19.28515625" style="23" customWidth="1"/>
    <col min="14866" max="14866" width="16.5703125" style="23" customWidth="1"/>
    <col min="14867" max="14867" width="29" style="23" customWidth="1"/>
    <col min="14868" max="15107" width="9" style="23"/>
    <col min="15108" max="15108" width="15.28515625" style="23" customWidth="1"/>
    <col min="15109" max="15109" width="83.140625" style="23" bestFit="1" customWidth="1"/>
    <col min="15110" max="15110" width="22" style="23" customWidth="1"/>
    <col min="15111" max="15111" width="102.140625" style="23" bestFit="1" customWidth="1"/>
    <col min="15112" max="15112" width="17.28515625" style="23" customWidth="1"/>
    <col min="15113" max="15113" width="29.85546875" style="23" bestFit="1" customWidth="1"/>
    <col min="15114" max="15114" width="31.140625" style="23" customWidth="1"/>
    <col min="15115" max="15115" width="21.85546875" style="23" customWidth="1"/>
    <col min="15116" max="15116" width="14.140625" style="23" customWidth="1"/>
    <col min="15117" max="15117" width="25.7109375" style="23" customWidth="1"/>
    <col min="15118" max="15118" width="26.7109375" style="23" customWidth="1"/>
    <col min="15119" max="15119" width="58.42578125" style="23" bestFit="1" customWidth="1"/>
    <col min="15120" max="15120" width="12.42578125" style="23" customWidth="1"/>
    <col min="15121" max="15121" width="19.28515625" style="23" customWidth="1"/>
    <col min="15122" max="15122" width="16.5703125" style="23" customWidth="1"/>
    <col min="15123" max="15123" width="29" style="23" customWidth="1"/>
    <col min="15124" max="15363" width="9" style="23"/>
    <col min="15364" max="15364" width="15.28515625" style="23" customWidth="1"/>
    <col min="15365" max="15365" width="83.140625" style="23" bestFit="1" customWidth="1"/>
    <col min="15366" max="15366" width="22" style="23" customWidth="1"/>
    <col min="15367" max="15367" width="102.140625" style="23" bestFit="1" customWidth="1"/>
    <col min="15368" max="15368" width="17.28515625" style="23" customWidth="1"/>
    <col min="15369" max="15369" width="29.85546875" style="23" bestFit="1" customWidth="1"/>
    <col min="15370" max="15370" width="31.140625" style="23" customWidth="1"/>
    <col min="15371" max="15371" width="21.85546875" style="23" customWidth="1"/>
    <col min="15372" max="15372" width="14.140625" style="23" customWidth="1"/>
    <col min="15373" max="15373" width="25.7109375" style="23" customWidth="1"/>
    <col min="15374" max="15374" width="26.7109375" style="23" customWidth="1"/>
    <col min="15375" max="15375" width="58.42578125" style="23" bestFit="1" customWidth="1"/>
    <col min="15376" max="15376" width="12.42578125" style="23" customWidth="1"/>
    <col min="15377" max="15377" width="19.28515625" style="23" customWidth="1"/>
    <col min="15378" max="15378" width="16.5703125" style="23" customWidth="1"/>
    <col min="15379" max="15379" width="29" style="23" customWidth="1"/>
    <col min="15380" max="15619" width="9" style="23"/>
    <col min="15620" max="15620" width="15.28515625" style="23" customWidth="1"/>
    <col min="15621" max="15621" width="83.140625" style="23" bestFit="1" customWidth="1"/>
    <col min="15622" max="15622" width="22" style="23" customWidth="1"/>
    <col min="15623" max="15623" width="102.140625" style="23" bestFit="1" customWidth="1"/>
    <col min="15624" max="15624" width="17.28515625" style="23" customWidth="1"/>
    <col min="15625" max="15625" width="29.85546875" style="23" bestFit="1" customWidth="1"/>
    <col min="15626" max="15626" width="31.140625" style="23" customWidth="1"/>
    <col min="15627" max="15627" width="21.85546875" style="23" customWidth="1"/>
    <col min="15628" max="15628" width="14.140625" style="23" customWidth="1"/>
    <col min="15629" max="15629" width="25.7109375" style="23" customWidth="1"/>
    <col min="15630" max="15630" width="26.7109375" style="23" customWidth="1"/>
    <col min="15631" max="15631" width="58.42578125" style="23" bestFit="1" customWidth="1"/>
    <col min="15632" max="15632" width="12.42578125" style="23" customWidth="1"/>
    <col min="15633" max="15633" width="19.28515625" style="23" customWidth="1"/>
    <col min="15634" max="15634" width="16.5703125" style="23" customWidth="1"/>
    <col min="15635" max="15635" width="29" style="23" customWidth="1"/>
    <col min="15636" max="15875" width="9" style="23"/>
    <col min="15876" max="15876" width="15.28515625" style="23" customWidth="1"/>
    <col min="15877" max="15877" width="83.140625" style="23" bestFit="1" customWidth="1"/>
    <col min="15878" max="15878" width="22" style="23" customWidth="1"/>
    <col min="15879" max="15879" width="102.140625" style="23" bestFit="1" customWidth="1"/>
    <col min="15880" max="15880" width="17.28515625" style="23" customWidth="1"/>
    <col min="15881" max="15881" width="29.85546875" style="23" bestFit="1" customWidth="1"/>
    <col min="15882" max="15882" width="31.140625" style="23" customWidth="1"/>
    <col min="15883" max="15883" width="21.85546875" style="23" customWidth="1"/>
    <col min="15884" max="15884" width="14.140625" style="23" customWidth="1"/>
    <col min="15885" max="15885" width="25.7109375" style="23" customWidth="1"/>
    <col min="15886" max="15886" width="26.7109375" style="23" customWidth="1"/>
    <col min="15887" max="15887" width="58.42578125" style="23" bestFit="1" customWidth="1"/>
    <col min="15888" max="15888" width="12.42578125" style="23" customWidth="1"/>
    <col min="15889" max="15889" width="19.28515625" style="23" customWidth="1"/>
    <col min="15890" max="15890" width="16.5703125" style="23" customWidth="1"/>
    <col min="15891" max="15891" width="29" style="23" customWidth="1"/>
    <col min="15892" max="16131" width="9" style="23"/>
    <col min="16132" max="16132" width="15.28515625" style="23" customWidth="1"/>
    <col min="16133" max="16133" width="83.140625" style="23" bestFit="1" customWidth="1"/>
    <col min="16134" max="16134" width="22" style="23" customWidth="1"/>
    <col min="16135" max="16135" width="102.140625" style="23" bestFit="1" customWidth="1"/>
    <col min="16136" max="16136" width="17.28515625" style="23" customWidth="1"/>
    <col min="16137" max="16137" width="29.85546875" style="23" bestFit="1" customWidth="1"/>
    <col min="16138" max="16138" width="31.140625" style="23" customWidth="1"/>
    <col min="16139" max="16139" width="21.85546875" style="23" customWidth="1"/>
    <col min="16140" max="16140" width="14.140625" style="23" customWidth="1"/>
    <col min="16141" max="16141" width="25.7109375" style="23" customWidth="1"/>
    <col min="16142" max="16142" width="26.7109375" style="23" customWidth="1"/>
    <col min="16143" max="16143" width="58.42578125" style="23" bestFit="1" customWidth="1"/>
    <col min="16144" max="16144" width="12.42578125" style="23" customWidth="1"/>
    <col min="16145" max="16145" width="19.28515625" style="23" customWidth="1"/>
    <col min="16146" max="16146" width="16.5703125" style="23" customWidth="1"/>
    <col min="16147" max="16147" width="29" style="23" customWidth="1"/>
    <col min="16148" max="16384" width="9" style="23"/>
  </cols>
  <sheetData>
    <row r="1" spans="1:22" s="7" customFormat="1" x14ac:dyDescent="0.25">
      <c r="C1" s="154"/>
      <c r="D1" s="154"/>
      <c r="E1" s="31"/>
      <c r="F1" s="154"/>
      <c r="G1" s="31"/>
      <c r="L1" s="32"/>
      <c r="R1" s="32"/>
    </row>
    <row r="2" spans="1:22" s="7" customFormat="1" ht="26.45" customHeight="1" x14ac:dyDescent="0.25">
      <c r="A2" s="211" t="s">
        <v>50</v>
      </c>
      <c r="B2" s="211"/>
      <c r="C2" s="238"/>
      <c r="D2" s="238"/>
      <c r="E2" s="211"/>
      <c r="F2" s="228"/>
      <c r="G2" s="211"/>
      <c r="H2" s="211"/>
      <c r="I2" s="211"/>
      <c r="J2" s="211"/>
      <c r="K2" s="211"/>
      <c r="L2" s="211"/>
      <c r="M2" s="211"/>
      <c r="R2" s="32"/>
    </row>
    <row r="3" spans="1:22" s="7" customFormat="1" x14ac:dyDescent="0.25">
      <c r="C3" s="154"/>
      <c r="D3" s="154"/>
      <c r="E3" s="31"/>
      <c r="F3" s="154"/>
      <c r="G3" s="31"/>
      <c r="L3" s="32"/>
      <c r="R3" s="32"/>
    </row>
    <row r="4" spans="1:22" s="7" customFormat="1" ht="27.75" customHeight="1" x14ac:dyDescent="0.25">
      <c r="A4" s="33" t="s">
        <v>4</v>
      </c>
      <c r="B4" s="33" t="s">
        <v>51</v>
      </c>
      <c r="C4" s="33" t="s">
        <v>52</v>
      </c>
      <c r="D4" s="33"/>
      <c r="E4" s="34" t="s">
        <v>53</v>
      </c>
      <c r="F4" s="229" t="s">
        <v>54</v>
      </c>
      <c r="G4" s="34" t="s">
        <v>55</v>
      </c>
      <c r="H4" s="33" t="s">
        <v>56</v>
      </c>
      <c r="I4" s="33" t="s">
        <v>57</v>
      </c>
      <c r="J4" s="108" t="s">
        <v>58</v>
      </c>
      <c r="K4" s="33" t="s">
        <v>59</v>
      </c>
      <c r="L4" s="35" t="s">
        <v>60</v>
      </c>
      <c r="M4" s="108" t="s">
        <v>61</v>
      </c>
      <c r="N4" s="33" t="s">
        <v>62</v>
      </c>
      <c r="O4" s="108" t="s">
        <v>63</v>
      </c>
      <c r="P4" s="108" t="s">
        <v>64</v>
      </c>
      <c r="Q4" s="108"/>
      <c r="R4" s="110" t="s">
        <v>41</v>
      </c>
      <c r="S4" s="108" t="s">
        <v>141</v>
      </c>
      <c r="T4" s="108" t="s">
        <v>143</v>
      </c>
      <c r="U4" s="111" t="s">
        <v>159</v>
      </c>
    </row>
    <row r="5" spans="1:22" s="7" customFormat="1" ht="54.75" customHeight="1" x14ac:dyDescent="0.25">
      <c r="A5" s="5">
        <v>1</v>
      </c>
      <c r="B5" s="6" t="s">
        <v>65</v>
      </c>
      <c r="C5" s="104" t="s">
        <v>66</v>
      </c>
      <c r="D5" s="104"/>
      <c r="E5" s="15" t="s">
        <v>67</v>
      </c>
      <c r="F5" s="134" t="s">
        <v>68</v>
      </c>
      <c r="G5" s="37" t="s">
        <v>69</v>
      </c>
      <c r="H5" s="18" t="s">
        <v>70</v>
      </c>
      <c r="I5" s="18" t="s">
        <v>71</v>
      </c>
      <c r="J5" s="10"/>
      <c r="K5" s="10" t="s">
        <v>72</v>
      </c>
      <c r="L5" s="11">
        <v>1100000</v>
      </c>
      <c r="M5" s="38">
        <v>1100000</v>
      </c>
      <c r="N5" s="21" t="s">
        <v>73</v>
      </c>
      <c r="O5" s="29"/>
      <c r="P5" s="10" t="s">
        <v>28</v>
      </c>
      <c r="Q5" s="10"/>
      <c r="R5" s="11">
        <f>1100000*0.25</f>
        <v>275000</v>
      </c>
      <c r="S5" s="99">
        <f t="shared" ref="S5:S48" si="0">L5*0.35</f>
        <v>385000</v>
      </c>
      <c r="T5" s="99">
        <f t="shared" ref="T5:T35" si="1">S5-R5</f>
        <v>110000</v>
      </c>
      <c r="U5" s="132" t="s">
        <v>236</v>
      </c>
    </row>
    <row r="6" spans="1:22" s="7" customFormat="1" ht="65.25" customHeight="1" x14ac:dyDescent="0.25">
      <c r="A6" s="5">
        <v>2</v>
      </c>
      <c r="B6" s="6" t="s">
        <v>219</v>
      </c>
      <c r="C6" s="148" t="s">
        <v>42</v>
      </c>
      <c r="D6" s="148"/>
      <c r="E6" s="166" t="s">
        <v>160</v>
      </c>
      <c r="F6" s="148" t="s">
        <v>43</v>
      </c>
      <c r="G6" s="25" t="s">
        <v>44</v>
      </c>
      <c r="H6" s="12"/>
      <c r="I6" s="19" t="s">
        <v>220</v>
      </c>
      <c r="J6" s="167" t="s">
        <v>174</v>
      </c>
      <c r="K6" s="168" t="s">
        <v>72</v>
      </c>
      <c r="L6" s="26">
        <v>1100000</v>
      </c>
      <c r="M6" s="26">
        <v>1100000</v>
      </c>
      <c r="N6" s="21" t="s">
        <v>73</v>
      </c>
      <c r="O6" s="22"/>
      <c r="P6" s="10" t="s">
        <v>28</v>
      </c>
      <c r="Q6" s="10"/>
      <c r="R6" s="11">
        <f>1100000*0.25</f>
        <v>275000</v>
      </c>
      <c r="S6" s="99">
        <f t="shared" si="0"/>
        <v>385000</v>
      </c>
      <c r="T6" s="99">
        <f t="shared" si="1"/>
        <v>110000</v>
      </c>
      <c r="U6" s="132" t="s">
        <v>236</v>
      </c>
    </row>
    <row r="7" spans="1:22" ht="60" customHeight="1" x14ac:dyDescent="0.25">
      <c r="A7" s="5">
        <v>3</v>
      </c>
      <c r="B7" s="6" t="s">
        <v>237</v>
      </c>
      <c r="C7" s="156" t="s">
        <v>156</v>
      </c>
      <c r="D7" s="156"/>
      <c r="E7" s="15" t="s">
        <v>157</v>
      </c>
      <c r="F7" s="156" t="s">
        <v>238</v>
      </c>
      <c r="G7" s="16" t="s">
        <v>44</v>
      </c>
      <c r="H7" s="17"/>
      <c r="I7" s="18"/>
      <c r="J7" s="18"/>
      <c r="K7" s="10" t="s">
        <v>72</v>
      </c>
      <c r="L7" s="11">
        <v>1100000</v>
      </c>
      <c r="M7" s="38">
        <v>1100000</v>
      </c>
      <c r="N7" s="21" t="s">
        <v>73</v>
      </c>
      <c r="O7" s="29"/>
      <c r="P7" s="10" t="s">
        <v>28</v>
      </c>
      <c r="Q7" s="10"/>
      <c r="R7" s="11">
        <f>1100000*0.25</f>
        <v>275000</v>
      </c>
      <c r="S7" s="99">
        <f t="shared" si="0"/>
        <v>385000</v>
      </c>
      <c r="T7" s="99">
        <f t="shared" si="1"/>
        <v>110000</v>
      </c>
      <c r="U7" s="132" t="s">
        <v>236</v>
      </c>
    </row>
    <row r="8" spans="1:22" ht="47.25" x14ac:dyDescent="0.25">
      <c r="A8" s="5">
        <v>4</v>
      </c>
      <c r="B8" s="6"/>
      <c r="C8" s="156" t="s">
        <v>287</v>
      </c>
      <c r="D8" s="156"/>
      <c r="E8" s="15" t="s">
        <v>288</v>
      </c>
      <c r="F8" s="156" t="s">
        <v>289</v>
      </c>
      <c r="G8" s="16" t="s">
        <v>290</v>
      </c>
      <c r="H8" s="152" t="s">
        <v>291</v>
      </c>
      <c r="I8" s="100"/>
      <c r="J8" s="18"/>
      <c r="K8" s="168" t="s">
        <v>72</v>
      </c>
      <c r="L8" s="11">
        <v>1100000</v>
      </c>
      <c r="M8" s="38">
        <v>1100000</v>
      </c>
      <c r="N8" s="21" t="s">
        <v>73</v>
      </c>
      <c r="O8" s="22"/>
      <c r="P8" s="10"/>
      <c r="Q8" s="10"/>
      <c r="R8" s="11">
        <f>1100000*0.25</f>
        <v>275000</v>
      </c>
      <c r="S8" s="99">
        <f t="shared" si="0"/>
        <v>385000</v>
      </c>
      <c r="T8" s="99">
        <f t="shared" si="1"/>
        <v>110000</v>
      </c>
      <c r="U8" s="45" t="s">
        <v>236</v>
      </c>
    </row>
    <row r="9" spans="1:22" ht="31.5" x14ac:dyDescent="0.25">
      <c r="A9" s="5">
        <v>5</v>
      </c>
      <c r="B9" s="24" t="s">
        <v>410</v>
      </c>
      <c r="C9" s="134" t="s">
        <v>411</v>
      </c>
      <c r="D9" s="134"/>
      <c r="E9" s="25" t="s">
        <v>412</v>
      </c>
      <c r="F9" s="156" t="s">
        <v>413</v>
      </c>
      <c r="G9" s="16" t="s">
        <v>414</v>
      </c>
      <c r="H9" s="172" t="s">
        <v>40</v>
      </c>
      <c r="I9" s="10" t="s">
        <v>415</v>
      </c>
      <c r="J9" s="18" t="s">
        <v>416</v>
      </c>
      <c r="K9" s="26" t="s">
        <v>72</v>
      </c>
      <c r="L9" s="13">
        <v>1100000</v>
      </c>
      <c r="M9" s="13">
        <v>1100000</v>
      </c>
      <c r="N9" s="21" t="s">
        <v>73</v>
      </c>
      <c r="O9" s="22"/>
      <c r="P9" s="19"/>
      <c r="Q9" s="19"/>
      <c r="R9" s="13">
        <v>100000</v>
      </c>
      <c r="S9" s="99">
        <f t="shared" si="0"/>
        <v>385000</v>
      </c>
      <c r="T9" s="99">
        <f t="shared" si="1"/>
        <v>285000</v>
      </c>
      <c r="U9" s="45" t="s">
        <v>236</v>
      </c>
    </row>
    <row r="10" spans="1:22" ht="47.25" x14ac:dyDescent="0.25">
      <c r="A10" s="5">
        <v>6</v>
      </c>
      <c r="B10" s="22">
        <v>43801</v>
      </c>
      <c r="C10" s="148" t="s">
        <v>513</v>
      </c>
      <c r="D10" s="148"/>
      <c r="E10" s="101" t="s">
        <v>514</v>
      </c>
      <c r="F10" s="156" t="s">
        <v>515</v>
      </c>
      <c r="G10" s="16" t="s">
        <v>516</v>
      </c>
      <c r="H10" s="19" t="s">
        <v>517</v>
      </c>
      <c r="I10" s="10"/>
      <c r="J10" s="10"/>
      <c r="K10" s="19" t="s">
        <v>72</v>
      </c>
      <c r="L10" s="13">
        <v>1100000</v>
      </c>
      <c r="M10" s="13">
        <v>1100000</v>
      </c>
      <c r="N10" s="21" t="s">
        <v>73</v>
      </c>
      <c r="O10" s="19"/>
      <c r="P10" s="19"/>
      <c r="Q10" s="19"/>
      <c r="R10" s="13">
        <v>100000</v>
      </c>
      <c r="S10" s="99">
        <f t="shared" si="0"/>
        <v>385000</v>
      </c>
      <c r="T10" s="99">
        <f t="shared" si="1"/>
        <v>285000</v>
      </c>
      <c r="U10" s="45" t="s">
        <v>292</v>
      </c>
    </row>
    <row r="11" spans="1:22" ht="47.25" x14ac:dyDescent="0.25">
      <c r="A11" s="5">
        <v>7</v>
      </c>
      <c r="B11" s="122">
        <v>43468</v>
      </c>
      <c r="C11" s="156" t="s">
        <v>567</v>
      </c>
      <c r="D11" s="156"/>
      <c r="E11" s="25" t="s">
        <v>568</v>
      </c>
      <c r="F11" s="156" t="s">
        <v>569</v>
      </c>
      <c r="G11" s="16" t="s">
        <v>28</v>
      </c>
      <c r="H11" s="152" t="s">
        <v>571</v>
      </c>
      <c r="I11" s="10" t="s">
        <v>570</v>
      </c>
      <c r="J11" s="18" t="s">
        <v>416</v>
      </c>
      <c r="K11" s="19" t="s">
        <v>572</v>
      </c>
      <c r="L11" s="11">
        <v>1100000</v>
      </c>
      <c r="M11" s="26">
        <v>1100000</v>
      </c>
      <c r="N11" s="10" t="s">
        <v>73</v>
      </c>
      <c r="O11" s="19"/>
      <c r="P11" s="19"/>
      <c r="Q11" s="19"/>
      <c r="R11" s="13">
        <f t="shared" ref="R11:R27" si="2">M11*0.25</f>
        <v>275000</v>
      </c>
      <c r="S11" s="99">
        <f t="shared" si="0"/>
        <v>385000</v>
      </c>
      <c r="T11" s="99">
        <f t="shared" si="1"/>
        <v>110000</v>
      </c>
      <c r="U11" s="19" t="s">
        <v>645</v>
      </c>
    </row>
    <row r="12" spans="1:22" ht="47.25" x14ac:dyDescent="0.25">
      <c r="A12" s="5">
        <v>8</v>
      </c>
      <c r="B12" s="122">
        <v>43772</v>
      </c>
      <c r="C12" s="134" t="s">
        <v>594</v>
      </c>
      <c r="D12" s="134"/>
      <c r="E12" s="15">
        <v>108408940</v>
      </c>
      <c r="F12" s="156" t="s">
        <v>591</v>
      </c>
      <c r="G12" s="16">
        <v>977198786</v>
      </c>
      <c r="H12" s="172" t="s">
        <v>592</v>
      </c>
      <c r="I12" s="10" t="s">
        <v>593</v>
      </c>
      <c r="J12" s="10" t="s">
        <v>416</v>
      </c>
      <c r="K12" s="26" t="s">
        <v>72</v>
      </c>
      <c r="L12" s="11">
        <v>1100000</v>
      </c>
      <c r="M12" s="26">
        <v>1100000</v>
      </c>
      <c r="N12" s="10" t="s">
        <v>73</v>
      </c>
      <c r="O12" s="19"/>
      <c r="P12" s="19"/>
      <c r="Q12" s="19"/>
      <c r="R12" s="13">
        <f t="shared" si="2"/>
        <v>275000</v>
      </c>
      <c r="S12" s="99">
        <f t="shared" si="0"/>
        <v>385000</v>
      </c>
      <c r="T12" s="99">
        <f t="shared" si="1"/>
        <v>110000</v>
      </c>
      <c r="U12" s="19" t="s">
        <v>647</v>
      </c>
    </row>
    <row r="13" spans="1:22" ht="31.5" x14ac:dyDescent="0.25">
      <c r="A13" s="5">
        <v>9</v>
      </c>
      <c r="B13" s="10" t="s">
        <v>657</v>
      </c>
      <c r="C13" s="156" t="s">
        <v>649</v>
      </c>
      <c r="D13" s="156"/>
      <c r="E13" s="15">
        <v>108635911</v>
      </c>
      <c r="F13" s="156" t="s">
        <v>652</v>
      </c>
      <c r="G13" s="16" t="s">
        <v>650</v>
      </c>
      <c r="H13" s="152" t="s">
        <v>654</v>
      </c>
      <c r="I13" s="10" t="s">
        <v>658</v>
      </c>
      <c r="J13" s="10" t="s">
        <v>416</v>
      </c>
      <c r="K13" s="26" t="s">
        <v>72</v>
      </c>
      <c r="L13" s="11">
        <v>1100000</v>
      </c>
      <c r="M13" s="26">
        <v>1100000</v>
      </c>
      <c r="N13" s="10" t="s">
        <v>73</v>
      </c>
      <c r="O13" s="19"/>
      <c r="P13" s="19"/>
      <c r="Q13" s="19"/>
      <c r="R13" s="13">
        <f t="shared" si="2"/>
        <v>275000</v>
      </c>
      <c r="S13" s="99">
        <f t="shared" si="0"/>
        <v>385000</v>
      </c>
      <c r="T13" s="99">
        <f t="shared" si="1"/>
        <v>110000</v>
      </c>
      <c r="U13" s="19" t="s">
        <v>671</v>
      </c>
    </row>
    <row r="14" spans="1:22" ht="31.5" x14ac:dyDescent="0.25">
      <c r="A14" s="5">
        <v>10</v>
      </c>
      <c r="B14" s="10" t="s">
        <v>757</v>
      </c>
      <c r="C14" s="157" t="s">
        <v>758</v>
      </c>
      <c r="D14" s="157"/>
      <c r="E14" s="175" t="s">
        <v>759</v>
      </c>
      <c r="F14" s="148" t="s">
        <v>760</v>
      </c>
      <c r="G14" s="16" t="s">
        <v>761</v>
      </c>
      <c r="H14" s="310" t="s">
        <v>762</v>
      </c>
      <c r="I14" s="10" t="s">
        <v>763</v>
      </c>
      <c r="J14" s="10" t="s">
        <v>764</v>
      </c>
      <c r="K14" s="10" t="s">
        <v>114</v>
      </c>
      <c r="L14" s="11">
        <v>500000</v>
      </c>
      <c r="M14" s="26">
        <v>500000</v>
      </c>
      <c r="N14" s="10" t="s">
        <v>73</v>
      </c>
      <c r="O14" s="19"/>
      <c r="P14" s="19"/>
      <c r="Q14" s="19"/>
      <c r="R14" s="13">
        <f t="shared" si="2"/>
        <v>125000</v>
      </c>
      <c r="S14" s="19">
        <f t="shared" si="0"/>
        <v>175000</v>
      </c>
      <c r="T14" s="99">
        <f t="shared" si="1"/>
        <v>50000</v>
      </c>
      <c r="U14" s="19" t="s">
        <v>951</v>
      </c>
    </row>
    <row r="15" spans="1:22" ht="47.25" x14ac:dyDescent="0.25">
      <c r="A15" s="5">
        <v>11</v>
      </c>
      <c r="B15" s="10" t="s">
        <v>757</v>
      </c>
      <c r="C15" s="157" t="s">
        <v>765</v>
      </c>
      <c r="D15" s="157" t="s">
        <v>1013</v>
      </c>
      <c r="E15" s="175" t="s">
        <v>766</v>
      </c>
      <c r="F15" s="148" t="s">
        <v>767</v>
      </c>
      <c r="G15" s="16" t="s">
        <v>309</v>
      </c>
      <c r="H15" s="310" t="s">
        <v>768</v>
      </c>
      <c r="I15" s="10" t="s">
        <v>769</v>
      </c>
      <c r="J15" s="10" t="s">
        <v>416</v>
      </c>
      <c r="K15" s="26" t="s">
        <v>72</v>
      </c>
      <c r="L15" s="11">
        <v>1100000</v>
      </c>
      <c r="M15" s="26">
        <v>1100000</v>
      </c>
      <c r="N15" s="10" t="s">
        <v>73</v>
      </c>
      <c r="O15" s="19"/>
      <c r="P15" s="19"/>
      <c r="Q15" s="19"/>
      <c r="R15" s="13">
        <f t="shared" si="2"/>
        <v>275000</v>
      </c>
      <c r="S15" s="19">
        <f t="shared" si="0"/>
        <v>385000</v>
      </c>
      <c r="T15" s="99">
        <f t="shared" si="1"/>
        <v>110000</v>
      </c>
      <c r="U15" s="19" t="s">
        <v>896</v>
      </c>
    </row>
    <row r="16" spans="1:22" ht="31.5" x14ac:dyDescent="0.25">
      <c r="A16" s="5">
        <v>12</v>
      </c>
      <c r="B16" s="10" t="s">
        <v>786</v>
      </c>
      <c r="C16" s="157" t="s">
        <v>787</v>
      </c>
      <c r="D16" s="157" t="s">
        <v>1012</v>
      </c>
      <c r="E16" s="175" t="s">
        <v>788</v>
      </c>
      <c r="F16" s="148" t="s">
        <v>789</v>
      </c>
      <c r="G16" s="16" t="s">
        <v>28</v>
      </c>
      <c r="H16" s="310" t="s">
        <v>571</v>
      </c>
      <c r="I16" s="10" t="s">
        <v>790</v>
      </c>
      <c r="J16" s="10" t="s">
        <v>416</v>
      </c>
      <c r="K16" s="26" t="s">
        <v>72</v>
      </c>
      <c r="L16" s="11">
        <v>1100000</v>
      </c>
      <c r="M16" s="26">
        <v>1100000</v>
      </c>
      <c r="N16" s="10" t="s">
        <v>73</v>
      </c>
      <c r="O16" s="19"/>
      <c r="P16" s="19"/>
      <c r="Q16" s="19"/>
      <c r="R16" s="13">
        <f t="shared" si="2"/>
        <v>275000</v>
      </c>
      <c r="S16" s="19">
        <f t="shared" si="0"/>
        <v>385000</v>
      </c>
      <c r="T16" s="99">
        <f t="shared" si="1"/>
        <v>110000</v>
      </c>
      <c r="U16" s="19" t="s">
        <v>881</v>
      </c>
      <c r="V16" s="23" t="s">
        <v>880</v>
      </c>
    </row>
    <row r="17" spans="1:22" s="7" customFormat="1" ht="47.25" x14ac:dyDescent="0.25">
      <c r="A17" s="5">
        <v>13</v>
      </c>
      <c r="B17" s="10" t="s">
        <v>910</v>
      </c>
      <c r="C17" s="157" t="s">
        <v>911</v>
      </c>
      <c r="D17" s="157" t="s">
        <v>350</v>
      </c>
      <c r="E17" s="29" t="s">
        <v>912</v>
      </c>
      <c r="F17" s="157" t="s">
        <v>913</v>
      </c>
      <c r="G17" s="37" t="s">
        <v>914</v>
      </c>
      <c r="H17" s="10" t="s">
        <v>915</v>
      </c>
      <c r="I17" s="10" t="s">
        <v>916</v>
      </c>
      <c r="J17" s="10" t="s">
        <v>416</v>
      </c>
      <c r="K17" s="10" t="s">
        <v>72</v>
      </c>
      <c r="L17" s="11">
        <v>1100000</v>
      </c>
      <c r="M17" s="26">
        <v>1100000</v>
      </c>
      <c r="N17" s="10" t="s">
        <v>73</v>
      </c>
      <c r="O17" s="10"/>
      <c r="P17" s="10"/>
      <c r="Q17" s="10"/>
      <c r="R17" s="13">
        <f t="shared" si="2"/>
        <v>275000</v>
      </c>
      <c r="S17" s="19">
        <f t="shared" si="0"/>
        <v>385000</v>
      </c>
      <c r="T17" s="99">
        <f t="shared" si="1"/>
        <v>110000</v>
      </c>
      <c r="U17" s="10" t="s">
        <v>950</v>
      </c>
      <c r="V17" s="7" t="s">
        <v>350</v>
      </c>
    </row>
    <row r="18" spans="1:22" s="36" customFormat="1" ht="31.5" x14ac:dyDescent="0.25">
      <c r="A18" s="76">
        <v>14</v>
      </c>
      <c r="B18" s="78" t="s">
        <v>1009</v>
      </c>
      <c r="C18" s="137" t="s">
        <v>1010</v>
      </c>
      <c r="D18" s="137" t="s">
        <v>457</v>
      </c>
      <c r="E18" s="275" t="s">
        <v>1011</v>
      </c>
      <c r="F18" s="134" t="s">
        <v>1014</v>
      </c>
      <c r="G18" s="332" t="s">
        <v>1015</v>
      </c>
      <c r="H18" s="78" t="s">
        <v>1016</v>
      </c>
      <c r="I18" s="78" t="s">
        <v>1017</v>
      </c>
      <c r="J18" s="78" t="s">
        <v>416</v>
      </c>
      <c r="K18" s="78" t="s">
        <v>72</v>
      </c>
      <c r="L18" s="80">
        <v>1100000</v>
      </c>
      <c r="M18" s="20">
        <v>1100000</v>
      </c>
      <c r="N18" s="78" t="s">
        <v>73</v>
      </c>
      <c r="O18" s="18"/>
      <c r="P18" s="18"/>
      <c r="Q18" s="18"/>
      <c r="R18" s="333">
        <f t="shared" si="2"/>
        <v>275000</v>
      </c>
      <c r="S18" s="18">
        <f t="shared" si="0"/>
        <v>385000</v>
      </c>
      <c r="T18" s="81">
        <f t="shared" si="1"/>
        <v>110000</v>
      </c>
      <c r="U18" s="18" t="s">
        <v>1057</v>
      </c>
    </row>
    <row r="19" spans="1:22" s="7" customFormat="1" ht="47.25" x14ac:dyDescent="0.25">
      <c r="A19" s="5">
        <v>15</v>
      </c>
      <c r="B19" s="122">
        <v>43775</v>
      </c>
      <c r="C19" s="157" t="s">
        <v>1038</v>
      </c>
      <c r="D19" s="157" t="s">
        <v>976</v>
      </c>
      <c r="E19" s="29" t="s">
        <v>1039</v>
      </c>
      <c r="F19" s="157" t="s">
        <v>1040</v>
      </c>
      <c r="G19" s="37" t="s">
        <v>1041</v>
      </c>
      <c r="H19" s="10" t="s">
        <v>1042</v>
      </c>
      <c r="I19" s="10" t="s">
        <v>981</v>
      </c>
      <c r="J19" s="10" t="s">
        <v>416</v>
      </c>
      <c r="K19" s="10" t="s">
        <v>72</v>
      </c>
      <c r="L19" s="11">
        <v>1100000</v>
      </c>
      <c r="M19" s="38">
        <v>1100000</v>
      </c>
      <c r="N19" s="10" t="s">
        <v>73</v>
      </c>
      <c r="O19" s="10"/>
      <c r="P19" s="10"/>
      <c r="Q19" s="10"/>
      <c r="R19" s="11">
        <f t="shared" si="2"/>
        <v>275000</v>
      </c>
      <c r="S19" s="10">
        <f t="shared" si="0"/>
        <v>385000</v>
      </c>
      <c r="T19" s="99">
        <f t="shared" si="1"/>
        <v>110000</v>
      </c>
      <c r="U19" s="10" t="s">
        <v>881</v>
      </c>
    </row>
    <row r="20" spans="1:22" ht="47.25" x14ac:dyDescent="0.25">
      <c r="A20" s="19">
        <v>16</v>
      </c>
      <c r="B20" s="122">
        <v>43745</v>
      </c>
      <c r="C20" s="157" t="s">
        <v>1248</v>
      </c>
      <c r="D20" s="157" t="s">
        <v>510</v>
      </c>
      <c r="E20" s="175" t="s">
        <v>1249</v>
      </c>
      <c r="F20" s="157" t="s">
        <v>1250</v>
      </c>
      <c r="G20" s="16" t="s">
        <v>206</v>
      </c>
      <c r="H20" s="10" t="s">
        <v>202</v>
      </c>
      <c r="I20" s="10" t="s">
        <v>1251</v>
      </c>
      <c r="J20" s="10" t="s">
        <v>416</v>
      </c>
      <c r="K20" s="10" t="s">
        <v>72</v>
      </c>
      <c r="L20" s="11">
        <v>1100000</v>
      </c>
      <c r="M20" s="38">
        <v>1100000</v>
      </c>
      <c r="N20" s="10" t="s">
        <v>73</v>
      </c>
      <c r="O20" s="19"/>
      <c r="P20" s="19"/>
      <c r="Q20" s="19"/>
      <c r="R20" s="11">
        <f t="shared" si="2"/>
        <v>275000</v>
      </c>
      <c r="S20" s="10">
        <f t="shared" si="0"/>
        <v>385000</v>
      </c>
      <c r="T20" s="99">
        <f t="shared" si="1"/>
        <v>110000</v>
      </c>
      <c r="U20" s="19" t="s">
        <v>881</v>
      </c>
    </row>
    <row r="21" spans="1:22" ht="45.75" customHeight="1" x14ac:dyDescent="0.25">
      <c r="A21" s="19">
        <v>17</v>
      </c>
      <c r="B21" s="122">
        <v>43745</v>
      </c>
      <c r="C21" s="157" t="s">
        <v>207</v>
      </c>
      <c r="D21" s="157" t="s">
        <v>510</v>
      </c>
      <c r="E21" s="29" t="s">
        <v>209</v>
      </c>
      <c r="F21" s="157" t="s">
        <v>1252</v>
      </c>
      <c r="G21" s="16" t="s">
        <v>206</v>
      </c>
      <c r="H21" s="10" t="s">
        <v>202</v>
      </c>
      <c r="I21" s="10" t="s">
        <v>1251</v>
      </c>
      <c r="J21" s="10" t="s">
        <v>416</v>
      </c>
      <c r="K21" s="10" t="s">
        <v>72</v>
      </c>
      <c r="L21" s="11">
        <v>1100000</v>
      </c>
      <c r="M21" s="38">
        <v>1100000</v>
      </c>
      <c r="N21" s="10" t="s">
        <v>73</v>
      </c>
      <c r="O21" s="19"/>
      <c r="P21" s="19"/>
      <c r="Q21" s="19"/>
      <c r="R21" s="11">
        <f t="shared" si="2"/>
        <v>275000</v>
      </c>
      <c r="S21" s="10">
        <f t="shared" si="0"/>
        <v>385000</v>
      </c>
      <c r="T21" s="99">
        <f t="shared" si="1"/>
        <v>110000</v>
      </c>
      <c r="U21" s="19" t="s">
        <v>881</v>
      </c>
    </row>
    <row r="22" spans="1:22" ht="31.5" x14ac:dyDescent="0.25">
      <c r="A22" s="19">
        <v>18</v>
      </c>
      <c r="B22" s="10" t="s">
        <v>1311</v>
      </c>
      <c r="C22" s="164" t="s">
        <v>1293</v>
      </c>
      <c r="D22" s="157" t="s">
        <v>954</v>
      </c>
      <c r="E22" s="29" t="s">
        <v>1312</v>
      </c>
      <c r="F22" s="157" t="s">
        <v>1295</v>
      </c>
      <c r="G22" s="16"/>
      <c r="H22" s="10"/>
      <c r="I22" s="10" t="s">
        <v>1296</v>
      </c>
      <c r="J22" s="10" t="s">
        <v>416</v>
      </c>
      <c r="K22" s="10" t="s">
        <v>72</v>
      </c>
      <c r="L22" s="11">
        <v>1100000</v>
      </c>
      <c r="M22" s="38">
        <v>1100000</v>
      </c>
      <c r="N22" s="10" t="s">
        <v>73</v>
      </c>
      <c r="O22" s="19"/>
      <c r="P22" s="19"/>
      <c r="Q22" s="19"/>
      <c r="R22" s="11">
        <f t="shared" si="2"/>
        <v>275000</v>
      </c>
      <c r="S22" s="10">
        <f t="shared" si="0"/>
        <v>385000</v>
      </c>
      <c r="T22" s="99">
        <f t="shared" si="1"/>
        <v>110000</v>
      </c>
      <c r="U22" s="19" t="s">
        <v>663</v>
      </c>
    </row>
    <row r="23" spans="1:22" s="217" customFormat="1" ht="47.25" x14ac:dyDescent="0.25">
      <c r="A23" s="220">
        <v>19</v>
      </c>
      <c r="B23" s="239">
        <v>43807</v>
      </c>
      <c r="C23" s="374" t="s">
        <v>1298</v>
      </c>
      <c r="D23" s="242" t="s">
        <v>1466</v>
      </c>
      <c r="E23" s="244" t="s">
        <v>1297</v>
      </c>
      <c r="F23" s="242" t="s">
        <v>1299</v>
      </c>
      <c r="G23" s="375">
        <v>976832344</v>
      </c>
      <c r="H23" s="220" t="s">
        <v>1301</v>
      </c>
      <c r="I23" s="220" t="s">
        <v>1302</v>
      </c>
      <c r="J23" s="220" t="s">
        <v>416</v>
      </c>
      <c r="K23" s="220" t="s">
        <v>114</v>
      </c>
      <c r="L23" s="214">
        <v>500000</v>
      </c>
      <c r="M23" s="376">
        <v>500000</v>
      </c>
      <c r="N23" s="220" t="s">
        <v>73</v>
      </c>
      <c r="O23" s="220"/>
      <c r="P23" s="220"/>
      <c r="Q23" s="220"/>
      <c r="R23" s="214">
        <f t="shared" si="2"/>
        <v>125000</v>
      </c>
      <c r="S23" s="220">
        <f t="shared" si="0"/>
        <v>175000</v>
      </c>
      <c r="T23" s="219">
        <f t="shared" si="1"/>
        <v>50000</v>
      </c>
      <c r="U23" s="220" t="s">
        <v>1467</v>
      </c>
    </row>
    <row r="24" spans="1:22" ht="47.25" x14ac:dyDescent="0.25">
      <c r="A24" s="19">
        <v>20</v>
      </c>
      <c r="B24" s="10" t="s">
        <v>1512</v>
      </c>
      <c r="C24" s="372" t="s">
        <v>1511</v>
      </c>
      <c r="D24" s="157" t="s">
        <v>457</v>
      </c>
      <c r="E24" s="29" t="s">
        <v>1510</v>
      </c>
      <c r="F24" s="157" t="s">
        <v>1513</v>
      </c>
      <c r="G24" s="29" t="s">
        <v>1515</v>
      </c>
      <c r="H24" s="10" t="s">
        <v>1514</v>
      </c>
      <c r="I24" s="10" t="s">
        <v>1516</v>
      </c>
      <c r="J24" s="10" t="s">
        <v>416</v>
      </c>
      <c r="K24" s="10" t="s">
        <v>114</v>
      </c>
      <c r="L24" s="11">
        <v>500000</v>
      </c>
      <c r="M24" s="38">
        <v>500000</v>
      </c>
      <c r="N24" s="10" t="s">
        <v>73</v>
      </c>
      <c r="O24" s="19"/>
      <c r="P24" s="19"/>
      <c r="Q24" s="19"/>
      <c r="R24" s="11">
        <f t="shared" si="2"/>
        <v>125000</v>
      </c>
      <c r="S24" s="19">
        <f t="shared" si="0"/>
        <v>175000</v>
      </c>
      <c r="T24" s="99">
        <f t="shared" si="1"/>
        <v>50000</v>
      </c>
      <c r="U24" s="19" t="s">
        <v>663</v>
      </c>
    </row>
    <row r="25" spans="1:22" ht="47.25" x14ac:dyDescent="0.25">
      <c r="A25" s="19">
        <v>21</v>
      </c>
      <c r="B25" s="10" t="s">
        <v>1549</v>
      </c>
      <c r="C25" s="157" t="s">
        <v>691</v>
      </c>
      <c r="D25" s="157" t="s">
        <v>510</v>
      </c>
      <c r="E25" s="29" t="s">
        <v>695</v>
      </c>
      <c r="F25" s="157" t="s">
        <v>1557</v>
      </c>
      <c r="G25" s="29" t="s">
        <v>510</v>
      </c>
      <c r="H25" s="10" t="s">
        <v>202</v>
      </c>
      <c r="I25" s="10" t="s">
        <v>1558</v>
      </c>
      <c r="J25" s="10" t="s">
        <v>416</v>
      </c>
      <c r="K25" s="10" t="s">
        <v>72</v>
      </c>
      <c r="L25" s="11">
        <v>1100000</v>
      </c>
      <c r="M25" s="11">
        <v>1100000</v>
      </c>
      <c r="N25" s="10" t="s">
        <v>73</v>
      </c>
      <c r="O25" s="19"/>
      <c r="P25" s="19"/>
      <c r="Q25" s="19"/>
      <c r="R25" s="11">
        <f t="shared" si="2"/>
        <v>275000</v>
      </c>
      <c r="S25" s="19">
        <f t="shared" si="0"/>
        <v>385000</v>
      </c>
      <c r="T25" s="99">
        <f t="shared" si="1"/>
        <v>110000</v>
      </c>
      <c r="U25" s="19" t="s">
        <v>1244</v>
      </c>
    </row>
    <row r="26" spans="1:22" ht="47.25" x14ac:dyDescent="0.25">
      <c r="A26" s="19">
        <v>22</v>
      </c>
      <c r="B26" s="10" t="s">
        <v>1574</v>
      </c>
      <c r="C26" s="19" t="s">
        <v>1587</v>
      </c>
      <c r="D26" s="157" t="s">
        <v>1260</v>
      </c>
      <c r="E26" s="25" t="s">
        <v>1588</v>
      </c>
      <c r="F26" s="148" t="s">
        <v>1589</v>
      </c>
      <c r="G26" s="29" t="s">
        <v>1192</v>
      </c>
      <c r="H26" s="10" t="s">
        <v>1590</v>
      </c>
      <c r="I26" s="10" t="s">
        <v>1591</v>
      </c>
      <c r="J26" s="10" t="s">
        <v>416</v>
      </c>
      <c r="K26" s="10" t="s">
        <v>72</v>
      </c>
      <c r="L26" s="11">
        <v>1100000</v>
      </c>
      <c r="M26" s="11">
        <v>1100000</v>
      </c>
      <c r="N26" s="10" t="s">
        <v>73</v>
      </c>
      <c r="O26" s="19"/>
      <c r="P26" s="19"/>
      <c r="Q26" s="19"/>
      <c r="R26" s="11">
        <f t="shared" si="2"/>
        <v>275000</v>
      </c>
      <c r="S26" s="19">
        <f t="shared" si="0"/>
        <v>385000</v>
      </c>
      <c r="T26" s="99">
        <f t="shared" si="1"/>
        <v>110000</v>
      </c>
      <c r="U26" s="19" t="s">
        <v>1676</v>
      </c>
    </row>
    <row r="27" spans="1:22" ht="47.25" x14ac:dyDescent="0.25">
      <c r="A27" s="19">
        <v>23</v>
      </c>
      <c r="B27" s="122">
        <v>43625</v>
      </c>
      <c r="C27" s="148" t="s">
        <v>689</v>
      </c>
      <c r="D27" s="157" t="s">
        <v>510</v>
      </c>
      <c r="E27" s="29" t="s">
        <v>693</v>
      </c>
      <c r="F27" s="157" t="s">
        <v>1621</v>
      </c>
      <c r="G27" s="29" t="s">
        <v>510</v>
      </c>
      <c r="H27" s="10" t="s">
        <v>202</v>
      </c>
      <c r="I27" s="10" t="s">
        <v>1622</v>
      </c>
      <c r="J27" s="10" t="s">
        <v>416</v>
      </c>
      <c r="K27" s="10" t="s">
        <v>72</v>
      </c>
      <c r="L27" s="11">
        <v>1100000</v>
      </c>
      <c r="M27" s="11">
        <v>1100000</v>
      </c>
      <c r="N27" s="99" t="s">
        <v>73</v>
      </c>
      <c r="O27" s="19"/>
      <c r="P27" s="19"/>
      <c r="Q27" s="19"/>
      <c r="R27" s="11">
        <f t="shared" si="2"/>
        <v>275000</v>
      </c>
      <c r="S27" s="19">
        <f t="shared" si="0"/>
        <v>385000</v>
      </c>
      <c r="T27" s="99">
        <f t="shared" si="1"/>
        <v>110000</v>
      </c>
      <c r="U27" s="19" t="s">
        <v>1244</v>
      </c>
    </row>
    <row r="28" spans="1:22" ht="31.5" x14ac:dyDescent="0.25">
      <c r="A28" s="19">
        <v>24</v>
      </c>
      <c r="B28" s="122">
        <v>43625</v>
      </c>
      <c r="C28" s="157" t="s">
        <v>1630</v>
      </c>
      <c r="D28" s="157"/>
      <c r="E28" s="29" t="s">
        <v>384</v>
      </c>
      <c r="F28" s="157" t="s">
        <v>1631</v>
      </c>
      <c r="G28" s="29" t="s">
        <v>1632</v>
      </c>
      <c r="H28" s="10" t="s">
        <v>1633</v>
      </c>
      <c r="I28" s="10" t="s">
        <v>389</v>
      </c>
      <c r="J28" s="10" t="s">
        <v>416</v>
      </c>
      <c r="K28" s="10" t="s">
        <v>72</v>
      </c>
      <c r="L28" s="11">
        <v>2400000</v>
      </c>
      <c r="M28" s="11">
        <v>2400000</v>
      </c>
      <c r="N28" s="99" t="s">
        <v>73</v>
      </c>
      <c r="O28" s="19"/>
      <c r="P28" s="19"/>
      <c r="Q28" s="19"/>
      <c r="R28" s="11"/>
      <c r="S28" s="19">
        <f t="shared" si="0"/>
        <v>840000</v>
      </c>
      <c r="T28" s="99">
        <f t="shared" si="1"/>
        <v>840000</v>
      </c>
      <c r="U28" s="19" t="s">
        <v>663</v>
      </c>
    </row>
    <row r="29" spans="1:22" ht="31.5" x14ac:dyDescent="0.25">
      <c r="A29" s="19">
        <v>25</v>
      </c>
      <c r="B29" s="10" t="s">
        <v>1776</v>
      </c>
      <c r="C29" s="157" t="s">
        <v>1777</v>
      </c>
      <c r="D29" s="157" t="s">
        <v>1115</v>
      </c>
      <c r="E29" s="29"/>
      <c r="F29" s="157"/>
      <c r="G29" s="29"/>
      <c r="H29" s="10"/>
      <c r="I29" s="10"/>
      <c r="J29" s="10" t="s">
        <v>416</v>
      </c>
      <c r="K29" s="10" t="s">
        <v>72</v>
      </c>
      <c r="L29" s="11">
        <v>1100000</v>
      </c>
      <c r="M29" s="11">
        <v>1100000</v>
      </c>
      <c r="N29" s="99" t="s">
        <v>73</v>
      </c>
      <c r="O29" s="19"/>
      <c r="P29" s="19"/>
      <c r="Q29" s="19"/>
      <c r="R29" s="13">
        <v>100000</v>
      </c>
      <c r="S29" s="19">
        <f t="shared" si="0"/>
        <v>385000</v>
      </c>
      <c r="T29" s="99">
        <f t="shared" si="1"/>
        <v>285000</v>
      </c>
      <c r="U29" s="19" t="s">
        <v>1276</v>
      </c>
    </row>
    <row r="30" spans="1:22" s="217" customFormat="1" ht="31.5" x14ac:dyDescent="0.25">
      <c r="A30" s="220">
        <v>26</v>
      </c>
      <c r="B30" s="239">
        <v>43506</v>
      </c>
      <c r="C30" s="242" t="s">
        <v>1415</v>
      </c>
      <c r="D30" s="242"/>
      <c r="E30" s="244" t="s">
        <v>1416</v>
      </c>
      <c r="F30" s="242" t="s">
        <v>1871</v>
      </c>
      <c r="G30" s="244" t="s">
        <v>1417</v>
      </c>
      <c r="H30" s="417" t="s">
        <v>1872</v>
      </c>
      <c r="I30" s="220" t="s">
        <v>1873</v>
      </c>
      <c r="J30" s="220" t="s">
        <v>416</v>
      </c>
      <c r="K30" s="220" t="s">
        <v>72</v>
      </c>
      <c r="L30" s="214">
        <v>1100000</v>
      </c>
      <c r="M30" s="214">
        <v>1100000</v>
      </c>
      <c r="N30" s="219" t="s">
        <v>73</v>
      </c>
      <c r="O30" s="220"/>
      <c r="P30" s="220"/>
      <c r="Q30" s="220"/>
      <c r="R30" s="214">
        <v>0</v>
      </c>
      <c r="S30" s="220">
        <f t="shared" si="0"/>
        <v>385000</v>
      </c>
      <c r="T30" s="219">
        <f t="shared" si="1"/>
        <v>385000</v>
      </c>
      <c r="U30" s="220" t="s">
        <v>663</v>
      </c>
    </row>
    <row r="31" spans="1:22" ht="47.25" x14ac:dyDescent="0.25">
      <c r="A31" s="19">
        <v>27</v>
      </c>
      <c r="B31" s="122">
        <v>43779</v>
      </c>
      <c r="C31" s="157" t="s">
        <v>1932</v>
      </c>
      <c r="D31" s="157" t="s">
        <v>1933</v>
      </c>
      <c r="E31" s="29" t="s">
        <v>1934</v>
      </c>
      <c r="F31" s="157" t="s">
        <v>1935</v>
      </c>
      <c r="G31" s="175" t="s">
        <v>914</v>
      </c>
      <c r="H31" s="10"/>
      <c r="I31" s="10"/>
      <c r="J31" s="10" t="s">
        <v>416</v>
      </c>
      <c r="K31" s="10" t="s">
        <v>72</v>
      </c>
      <c r="L31" s="11">
        <v>1100000</v>
      </c>
      <c r="M31" s="11">
        <v>1100000</v>
      </c>
      <c r="N31" s="99" t="s">
        <v>73</v>
      </c>
      <c r="O31" s="19"/>
      <c r="P31" s="19"/>
      <c r="Q31" s="19"/>
      <c r="R31" s="13"/>
      <c r="S31" s="19">
        <f t="shared" si="0"/>
        <v>385000</v>
      </c>
      <c r="T31" s="99">
        <f t="shared" si="1"/>
        <v>385000</v>
      </c>
      <c r="U31" s="19" t="s">
        <v>663</v>
      </c>
    </row>
    <row r="32" spans="1:22" ht="47.25" x14ac:dyDescent="0.25">
      <c r="A32" s="19">
        <v>28</v>
      </c>
      <c r="B32" s="10" t="s">
        <v>1945</v>
      </c>
      <c r="C32" s="157" t="s">
        <v>1957</v>
      </c>
      <c r="D32" s="157" t="s">
        <v>457</v>
      </c>
      <c r="E32" s="29" t="s">
        <v>1958</v>
      </c>
      <c r="F32" s="157" t="s">
        <v>1959</v>
      </c>
      <c r="G32" s="29" t="s">
        <v>1960</v>
      </c>
      <c r="H32" s="208" t="s">
        <v>1961</v>
      </c>
      <c r="I32" s="10" t="s">
        <v>1962</v>
      </c>
      <c r="J32" s="10" t="s">
        <v>416</v>
      </c>
      <c r="K32" s="10" t="s">
        <v>72</v>
      </c>
      <c r="L32" s="11">
        <v>1100000</v>
      </c>
      <c r="M32" s="11">
        <v>1100000</v>
      </c>
      <c r="N32" s="99" t="s">
        <v>73</v>
      </c>
      <c r="O32" s="19"/>
      <c r="P32" s="19"/>
      <c r="Q32" s="19" t="s">
        <v>1963</v>
      </c>
      <c r="R32" s="13">
        <f>M32*25%</f>
        <v>275000</v>
      </c>
      <c r="S32" s="19">
        <f t="shared" si="0"/>
        <v>385000</v>
      </c>
      <c r="T32" s="99">
        <f t="shared" si="1"/>
        <v>110000</v>
      </c>
      <c r="U32" s="19" t="s">
        <v>663</v>
      </c>
    </row>
    <row r="33" spans="1:22" ht="47.25" x14ac:dyDescent="0.25">
      <c r="A33" s="19">
        <v>29</v>
      </c>
      <c r="B33" s="10" t="s">
        <v>1945</v>
      </c>
      <c r="C33" s="157" t="s">
        <v>1964</v>
      </c>
      <c r="D33" s="157" t="s">
        <v>1012</v>
      </c>
      <c r="E33" s="29" t="s">
        <v>1965</v>
      </c>
      <c r="F33" s="157" t="s">
        <v>1966</v>
      </c>
      <c r="G33" s="29" t="s">
        <v>28</v>
      </c>
      <c r="H33" s="310" t="s">
        <v>571</v>
      </c>
      <c r="I33" s="10"/>
      <c r="J33" s="10" t="s">
        <v>416</v>
      </c>
      <c r="K33" s="10" t="s">
        <v>72</v>
      </c>
      <c r="L33" s="11">
        <v>1100000</v>
      </c>
      <c r="M33" s="11">
        <v>1100000</v>
      </c>
      <c r="N33" s="99" t="s">
        <v>73</v>
      </c>
      <c r="O33" s="19"/>
      <c r="P33" s="19"/>
      <c r="Q33" s="19"/>
      <c r="R33" s="13">
        <f>M33*25%</f>
        <v>275000</v>
      </c>
      <c r="S33" s="19">
        <f t="shared" si="0"/>
        <v>385000</v>
      </c>
      <c r="T33" s="99">
        <f t="shared" si="1"/>
        <v>110000</v>
      </c>
      <c r="U33" s="19" t="s">
        <v>1244</v>
      </c>
      <c r="V33" s="246">
        <f>1100000-R33</f>
        <v>825000</v>
      </c>
    </row>
    <row r="34" spans="1:22" ht="47.25" x14ac:dyDescent="0.25">
      <c r="A34" s="19">
        <v>30</v>
      </c>
      <c r="B34" s="10" t="s">
        <v>2038</v>
      </c>
      <c r="C34" s="157" t="s">
        <v>1530</v>
      </c>
      <c r="D34" s="157"/>
      <c r="E34" s="29" t="s">
        <v>1532</v>
      </c>
      <c r="F34" s="157" t="s">
        <v>2039</v>
      </c>
      <c r="G34" s="29" t="s">
        <v>309</v>
      </c>
      <c r="H34" s="310" t="s">
        <v>2040</v>
      </c>
      <c r="I34" s="10"/>
      <c r="J34" s="10" t="s">
        <v>416</v>
      </c>
      <c r="K34" s="10" t="s">
        <v>72</v>
      </c>
      <c r="L34" s="11">
        <v>1100000</v>
      </c>
      <c r="M34" s="11">
        <v>1100000</v>
      </c>
      <c r="N34" s="10"/>
      <c r="O34" s="19"/>
      <c r="P34" s="19"/>
      <c r="Q34" s="19"/>
      <c r="R34" s="13">
        <v>100000</v>
      </c>
      <c r="S34" s="19">
        <f t="shared" si="0"/>
        <v>385000</v>
      </c>
      <c r="T34" s="99">
        <f t="shared" si="1"/>
        <v>285000</v>
      </c>
      <c r="U34" s="19" t="s">
        <v>1276</v>
      </c>
      <c r="V34" s="246">
        <f>V33*2</f>
        <v>1650000</v>
      </c>
    </row>
    <row r="35" spans="1:22" ht="31.5" x14ac:dyDescent="0.25">
      <c r="A35" s="19">
        <v>31</v>
      </c>
      <c r="B35" s="122">
        <v>43774</v>
      </c>
      <c r="C35" s="157" t="s">
        <v>2116</v>
      </c>
      <c r="D35" s="157"/>
      <c r="E35" s="101" t="s">
        <v>2117</v>
      </c>
      <c r="F35" s="148" t="s">
        <v>2119</v>
      </c>
      <c r="G35" s="29"/>
      <c r="H35" s="10"/>
      <c r="I35" s="10"/>
      <c r="J35" s="10" t="s">
        <v>416</v>
      </c>
      <c r="K35" s="10" t="s">
        <v>72</v>
      </c>
      <c r="L35" s="11">
        <v>1100000</v>
      </c>
      <c r="M35" s="11">
        <v>1100000</v>
      </c>
      <c r="N35" s="10"/>
      <c r="O35" s="19"/>
      <c r="P35" s="19"/>
      <c r="Q35" s="19"/>
      <c r="R35" s="13"/>
      <c r="S35" s="19">
        <f t="shared" si="0"/>
        <v>385000</v>
      </c>
      <c r="T35" s="99">
        <f t="shared" si="1"/>
        <v>385000</v>
      </c>
      <c r="U35" s="19" t="s">
        <v>663</v>
      </c>
      <c r="V35" s="246">
        <f>R33*2</f>
        <v>550000</v>
      </c>
    </row>
    <row r="36" spans="1:22" ht="31.5" x14ac:dyDescent="0.25">
      <c r="A36" s="19">
        <v>32</v>
      </c>
      <c r="B36" s="122">
        <v>43627</v>
      </c>
      <c r="C36" s="157" t="s">
        <v>2216</v>
      </c>
      <c r="D36" s="157" t="s">
        <v>1260</v>
      </c>
      <c r="E36" s="175" t="s">
        <v>2217</v>
      </c>
      <c r="F36" s="157" t="s">
        <v>2218</v>
      </c>
      <c r="G36" s="29" t="s">
        <v>1192</v>
      </c>
      <c r="H36" s="10"/>
      <c r="I36" s="10" t="s">
        <v>2219</v>
      </c>
      <c r="J36" s="10" t="s">
        <v>416</v>
      </c>
      <c r="K36" s="10" t="s">
        <v>72</v>
      </c>
      <c r="L36" s="11">
        <v>1100000</v>
      </c>
      <c r="M36" s="11">
        <v>1100000</v>
      </c>
      <c r="N36" s="10" t="s">
        <v>73</v>
      </c>
      <c r="O36" s="19"/>
      <c r="P36" s="19"/>
      <c r="Q36" s="165">
        <v>0.25</v>
      </c>
      <c r="R36" s="13">
        <f>M36*Q36</f>
        <v>275000</v>
      </c>
      <c r="S36" s="19">
        <f t="shared" si="0"/>
        <v>385000</v>
      </c>
      <c r="T36" s="99">
        <f>S36-R36</f>
        <v>110000</v>
      </c>
      <c r="U36" s="19" t="s">
        <v>1244</v>
      </c>
    </row>
    <row r="37" spans="1:22" ht="31.5" x14ac:dyDescent="0.25">
      <c r="A37" s="19">
        <v>33</v>
      </c>
      <c r="B37" s="10" t="s">
        <v>2173</v>
      </c>
      <c r="C37" s="157" t="s">
        <v>2220</v>
      </c>
      <c r="D37" s="157" t="s">
        <v>1260</v>
      </c>
      <c r="E37" s="464" t="s">
        <v>2221</v>
      </c>
      <c r="F37" s="157"/>
      <c r="G37" s="29" t="s">
        <v>1192</v>
      </c>
      <c r="H37" s="10"/>
      <c r="I37" s="10"/>
      <c r="J37" s="10" t="s">
        <v>416</v>
      </c>
      <c r="K37" s="10" t="s">
        <v>72</v>
      </c>
      <c r="L37" s="11">
        <v>1100000</v>
      </c>
      <c r="M37" s="11">
        <v>1100000</v>
      </c>
      <c r="N37" s="10" t="s">
        <v>73</v>
      </c>
      <c r="O37" s="19"/>
      <c r="P37" s="19"/>
      <c r="Q37" s="165">
        <v>0.25</v>
      </c>
      <c r="R37" s="13">
        <f t="shared" ref="R37:R48" si="3">M37*Q37</f>
        <v>275000</v>
      </c>
      <c r="S37" s="19">
        <f t="shared" si="0"/>
        <v>385000</v>
      </c>
      <c r="T37" s="99">
        <f t="shared" ref="T37:T48" si="4">S37-R37</f>
        <v>110000</v>
      </c>
      <c r="U37" s="19" t="s">
        <v>1244</v>
      </c>
    </row>
    <row r="38" spans="1:22" ht="31.5" x14ac:dyDescent="0.25">
      <c r="A38" s="19">
        <v>34</v>
      </c>
      <c r="B38" s="10" t="s">
        <v>2173</v>
      </c>
      <c r="C38" s="157" t="s">
        <v>2222</v>
      </c>
      <c r="D38" s="157" t="s">
        <v>1260</v>
      </c>
      <c r="E38" s="175" t="s">
        <v>2223</v>
      </c>
      <c r="F38" s="157"/>
      <c r="G38" s="29" t="s">
        <v>1192</v>
      </c>
      <c r="H38" s="10"/>
      <c r="I38" s="10"/>
      <c r="J38" s="10" t="s">
        <v>416</v>
      </c>
      <c r="K38" s="10" t="s">
        <v>72</v>
      </c>
      <c r="L38" s="11">
        <v>1100000</v>
      </c>
      <c r="M38" s="11">
        <v>1100000</v>
      </c>
      <c r="N38" s="10" t="s">
        <v>73</v>
      </c>
      <c r="O38" s="19"/>
      <c r="P38" s="19"/>
      <c r="Q38" s="165">
        <v>0.25</v>
      </c>
      <c r="R38" s="13">
        <f t="shared" si="3"/>
        <v>275000</v>
      </c>
      <c r="S38" s="19">
        <f t="shared" si="0"/>
        <v>385000</v>
      </c>
      <c r="T38" s="99">
        <f t="shared" si="4"/>
        <v>110000</v>
      </c>
      <c r="U38" s="19" t="s">
        <v>1244</v>
      </c>
    </row>
    <row r="39" spans="1:22" ht="31.5" x14ac:dyDescent="0.25">
      <c r="A39" s="19">
        <v>35</v>
      </c>
      <c r="B39" s="10" t="s">
        <v>2173</v>
      </c>
      <c r="C39" s="157" t="s">
        <v>2224</v>
      </c>
      <c r="D39" s="157" t="s">
        <v>1260</v>
      </c>
      <c r="E39" s="29" t="s">
        <v>2225</v>
      </c>
      <c r="F39" s="157"/>
      <c r="G39" s="29" t="s">
        <v>1192</v>
      </c>
      <c r="H39" s="10"/>
      <c r="I39" s="10"/>
      <c r="J39" s="10" t="s">
        <v>416</v>
      </c>
      <c r="K39" s="10" t="s">
        <v>72</v>
      </c>
      <c r="L39" s="11">
        <v>1100000</v>
      </c>
      <c r="M39" s="11">
        <v>1100000</v>
      </c>
      <c r="N39" s="10" t="s">
        <v>73</v>
      </c>
      <c r="O39" s="19"/>
      <c r="P39" s="19"/>
      <c r="Q39" s="165">
        <v>0.25</v>
      </c>
      <c r="R39" s="13">
        <f t="shared" si="3"/>
        <v>275000</v>
      </c>
      <c r="S39" s="19">
        <f t="shared" si="0"/>
        <v>385000</v>
      </c>
      <c r="T39" s="99">
        <f t="shared" si="4"/>
        <v>110000</v>
      </c>
      <c r="U39" s="19" t="s">
        <v>1244</v>
      </c>
    </row>
    <row r="40" spans="1:22" ht="31.5" x14ac:dyDescent="0.25">
      <c r="A40" s="19">
        <v>36</v>
      </c>
      <c r="B40" s="10" t="s">
        <v>2173</v>
      </c>
      <c r="C40" s="157" t="s">
        <v>2226</v>
      </c>
      <c r="D40" s="157" t="s">
        <v>1012</v>
      </c>
      <c r="E40" s="175" t="s">
        <v>2227</v>
      </c>
      <c r="F40" s="157"/>
      <c r="G40" s="29" t="s">
        <v>28</v>
      </c>
      <c r="H40" s="10"/>
      <c r="I40" s="10"/>
      <c r="J40" s="10" t="s">
        <v>416</v>
      </c>
      <c r="K40" s="10" t="s">
        <v>72</v>
      </c>
      <c r="L40" s="11">
        <v>1100000</v>
      </c>
      <c r="M40" s="11">
        <v>1100000</v>
      </c>
      <c r="N40" s="10" t="s">
        <v>73</v>
      </c>
      <c r="O40" s="19"/>
      <c r="P40" s="19"/>
      <c r="Q40" s="165">
        <v>0.25</v>
      </c>
      <c r="R40" s="13">
        <f t="shared" si="3"/>
        <v>275000</v>
      </c>
      <c r="S40" s="19">
        <f t="shared" si="0"/>
        <v>385000</v>
      </c>
      <c r="T40" s="99">
        <f t="shared" si="4"/>
        <v>110000</v>
      </c>
      <c r="U40" s="19" t="s">
        <v>1244</v>
      </c>
    </row>
    <row r="41" spans="1:22" ht="31.5" x14ac:dyDescent="0.25">
      <c r="A41" s="19">
        <v>37</v>
      </c>
      <c r="B41" s="10" t="s">
        <v>2202</v>
      </c>
      <c r="C41" s="157" t="s">
        <v>1777</v>
      </c>
      <c r="D41" s="157" t="s">
        <v>309</v>
      </c>
      <c r="E41" s="29" t="s">
        <v>1778</v>
      </c>
      <c r="F41" s="157"/>
      <c r="G41" s="29" t="s">
        <v>309</v>
      </c>
      <c r="H41" s="10"/>
      <c r="I41" s="10"/>
      <c r="J41" s="10" t="s">
        <v>416</v>
      </c>
      <c r="K41" s="10" t="s">
        <v>72</v>
      </c>
      <c r="L41" s="11">
        <v>1100000</v>
      </c>
      <c r="M41" s="11">
        <v>1100000</v>
      </c>
      <c r="N41" s="10" t="s">
        <v>73</v>
      </c>
      <c r="O41" s="19"/>
      <c r="P41" s="19"/>
      <c r="Q41" s="165">
        <v>0.25</v>
      </c>
      <c r="R41" s="13">
        <f t="shared" si="3"/>
        <v>275000</v>
      </c>
      <c r="S41" s="19">
        <f t="shared" si="0"/>
        <v>385000</v>
      </c>
      <c r="T41" s="99">
        <f t="shared" si="4"/>
        <v>110000</v>
      </c>
      <c r="U41" s="19" t="s">
        <v>2228</v>
      </c>
    </row>
    <row r="42" spans="1:22" ht="31.5" x14ac:dyDescent="0.25">
      <c r="A42" s="19">
        <v>38</v>
      </c>
      <c r="B42" s="10" t="s">
        <v>2769</v>
      </c>
      <c r="C42" s="157" t="s">
        <v>2823</v>
      </c>
      <c r="D42" s="157" t="s">
        <v>1279</v>
      </c>
      <c r="E42" s="29" t="s">
        <v>2824</v>
      </c>
      <c r="F42" s="157" t="s">
        <v>2825</v>
      </c>
      <c r="G42" s="175" t="s">
        <v>2826</v>
      </c>
      <c r="H42" s="10"/>
      <c r="I42" s="10"/>
      <c r="J42" s="10" t="s">
        <v>416</v>
      </c>
      <c r="K42" s="10" t="s">
        <v>103</v>
      </c>
      <c r="L42" s="11">
        <v>880000</v>
      </c>
      <c r="M42" s="11">
        <v>880000</v>
      </c>
      <c r="N42" s="10" t="s">
        <v>73</v>
      </c>
      <c r="O42" s="19"/>
      <c r="P42" s="19"/>
      <c r="Q42" s="165">
        <v>0.25</v>
      </c>
      <c r="R42" s="13">
        <f t="shared" si="3"/>
        <v>220000</v>
      </c>
      <c r="S42" s="19">
        <f t="shared" si="0"/>
        <v>308000</v>
      </c>
      <c r="T42" s="99">
        <f t="shared" si="4"/>
        <v>88000</v>
      </c>
      <c r="U42" s="19"/>
    </row>
    <row r="43" spans="1:22" ht="47.25" x14ac:dyDescent="0.25">
      <c r="A43" s="19">
        <v>39</v>
      </c>
      <c r="B43" s="122">
        <v>44014</v>
      </c>
      <c r="C43" s="157" t="s">
        <v>3507</v>
      </c>
      <c r="D43" s="157" t="s">
        <v>1012</v>
      </c>
      <c r="E43" s="29" t="s">
        <v>3509</v>
      </c>
      <c r="F43" s="157" t="s">
        <v>3508</v>
      </c>
      <c r="G43" s="29" t="s">
        <v>28</v>
      </c>
      <c r="H43" s="10"/>
      <c r="I43" s="10"/>
      <c r="J43" s="10" t="s">
        <v>416</v>
      </c>
      <c r="K43" s="10" t="s">
        <v>72</v>
      </c>
      <c r="L43" s="11">
        <v>1100000</v>
      </c>
      <c r="M43" s="11">
        <v>1100000</v>
      </c>
      <c r="N43" s="10" t="s">
        <v>73</v>
      </c>
      <c r="O43" s="19"/>
      <c r="P43" s="19"/>
      <c r="Q43" s="165">
        <v>0.25</v>
      </c>
      <c r="R43" s="13">
        <f t="shared" si="3"/>
        <v>275000</v>
      </c>
      <c r="S43" s="19">
        <f t="shared" si="0"/>
        <v>385000</v>
      </c>
      <c r="T43" s="99">
        <f t="shared" si="4"/>
        <v>110000</v>
      </c>
      <c r="U43" s="19" t="s">
        <v>3825</v>
      </c>
      <c r="V43" s="246">
        <f>M43-R43</f>
        <v>825000</v>
      </c>
    </row>
    <row r="44" spans="1:22" ht="31.5" x14ac:dyDescent="0.25">
      <c r="A44" s="19">
        <v>40</v>
      </c>
      <c r="B44" s="122">
        <v>44014</v>
      </c>
      <c r="C44" s="157" t="s">
        <v>2871</v>
      </c>
      <c r="D44" s="157" t="s">
        <v>3510</v>
      </c>
      <c r="E44" s="29" t="s">
        <v>2870</v>
      </c>
      <c r="F44" s="157" t="s">
        <v>2873</v>
      </c>
      <c r="G44" s="29"/>
      <c r="H44" s="10"/>
      <c r="I44" s="10"/>
      <c r="J44" s="10" t="s">
        <v>416</v>
      </c>
      <c r="K44" s="10" t="s">
        <v>72</v>
      </c>
      <c r="L44" s="11">
        <v>1100000</v>
      </c>
      <c r="M44" s="11">
        <v>1100000</v>
      </c>
      <c r="N44" s="10" t="s">
        <v>73</v>
      </c>
      <c r="O44" s="19"/>
      <c r="P44" s="19"/>
      <c r="Q44" s="165">
        <v>0.2</v>
      </c>
      <c r="R44" s="13">
        <f t="shared" si="3"/>
        <v>220000</v>
      </c>
      <c r="S44" s="19">
        <f t="shared" si="0"/>
        <v>385000</v>
      </c>
      <c r="T44" s="99">
        <f t="shared" si="4"/>
        <v>165000</v>
      </c>
      <c r="U44" s="19" t="s">
        <v>1641</v>
      </c>
    </row>
    <row r="45" spans="1:22" s="272" customFormat="1" ht="31.5" x14ac:dyDescent="0.25">
      <c r="A45" s="266">
        <v>41</v>
      </c>
      <c r="B45" s="269" t="s">
        <v>3511</v>
      </c>
      <c r="C45" s="268" t="s">
        <v>2599</v>
      </c>
      <c r="D45" s="268" t="s">
        <v>309</v>
      </c>
      <c r="E45" s="267" t="s">
        <v>2600</v>
      </c>
      <c r="F45" s="439" t="s">
        <v>2601</v>
      </c>
      <c r="G45" s="267" t="s">
        <v>309</v>
      </c>
      <c r="H45" s="269"/>
      <c r="I45" s="269"/>
      <c r="J45" s="269" t="s">
        <v>416</v>
      </c>
      <c r="K45" s="269" t="s">
        <v>72</v>
      </c>
      <c r="L45" s="270">
        <v>1100000</v>
      </c>
      <c r="M45" s="270">
        <v>1100000</v>
      </c>
      <c r="N45" s="269" t="s">
        <v>73</v>
      </c>
      <c r="O45" s="266"/>
      <c r="P45" s="266"/>
      <c r="Q45" s="271">
        <v>0.25</v>
      </c>
      <c r="R45" s="278">
        <f t="shared" si="3"/>
        <v>275000</v>
      </c>
      <c r="S45" s="266">
        <f t="shared" si="0"/>
        <v>385000</v>
      </c>
      <c r="T45" s="279">
        <f t="shared" si="4"/>
        <v>110000</v>
      </c>
      <c r="U45" s="266"/>
    </row>
    <row r="46" spans="1:22" ht="31.5" x14ac:dyDescent="0.25">
      <c r="A46" s="19">
        <v>42</v>
      </c>
      <c r="B46" s="10" t="s">
        <v>524</v>
      </c>
      <c r="C46" s="157" t="s">
        <v>3512</v>
      </c>
      <c r="D46" s="157" t="s">
        <v>2130</v>
      </c>
      <c r="E46" s="29" t="s">
        <v>3514</v>
      </c>
      <c r="F46" s="157" t="s">
        <v>3513</v>
      </c>
      <c r="G46" s="157" t="s">
        <v>2130</v>
      </c>
      <c r="H46" s="10"/>
      <c r="I46" s="10"/>
      <c r="J46" s="10" t="s">
        <v>416</v>
      </c>
      <c r="K46" s="10" t="s">
        <v>72</v>
      </c>
      <c r="L46" s="11">
        <v>1100000</v>
      </c>
      <c r="M46" s="11">
        <v>1100000</v>
      </c>
      <c r="N46" s="10" t="s">
        <v>73</v>
      </c>
      <c r="O46" s="19"/>
      <c r="P46" s="19"/>
      <c r="Q46" s="165">
        <v>0.25</v>
      </c>
      <c r="R46" s="13">
        <f t="shared" si="3"/>
        <v>275000</v>
      </c>
      <c r="S46" s="19">
        <f t="shared" si="0"/>
        <v>385000</v>
      </c>
      <c r="T46" s="99">
        <f t="shared" si="4"/>
        <v>110000</v>
      </c>
      <c r="U46" s="19" t="s">
        <v>3081</v>
      </c>
    </row>
    <row r="47" spans="1:22" ht="31.5" x14ac:dyDescent="0.25">
      <c r="A47" s="19">
        <v>43</v>
      </c>
      <c r="B47" s="10" t="s">
        <v>3515</v>
      </c>
      <c r="C47" s="157" t="s">
        <v>1089</v>
      </c>
      <c r="D47" s="157"/>
      <c r="E47" s="29" t="s">
        <v>3517</v>
      </c>
      <c r="F47" s="157" t="s">
        <v>3516</v>
      </c>
      <c r="G47" s="29" t="s">
        <v>3518</v>
      </c>
      <c r="H47" s="10"/>
      <c r="I47" s="10"/>
      <c r="J47" s="10" t="s">
        <v>416</v>
      </c>
      <c r="K47" s="10" t="s">
        <v>72</v>
      </c>
      <c r="L47" s="11">
        <v>1100000</v>
      </c>
      <c r="M47" s="11">
        <v>1100000</v>
      </c>
      <c r="N47" s="10" t="s">
        <v>73</v>
      </c>
      <c r="O47" s="19"/>
      <c r="P47" s="19"/>
      <c r="Q47" s="165">
        <v>0.25</v>
      </c>
      <c r="R47" s="13">
        <f t="shared" si="3"/>
        <v>275000</v>
      </c>
      <c r="S47" s="19">
        <f t="shared" si="0"/>
        <v>385000</v>
      </c>
      <c r="T47" s="99">
        <f t="shared" si="4"/>
        <v>110000</v>
      </c>
      <c r="U47" s="19" t="s">
        <v>3081</v>
      </c>
    </row>
    <row r="48" spans="1:22" s="272" customFormat="1" ht="47.25" x14ac:dyDescent="0.25">
      <c r="A48" s="266">
        <v>44</v>
      </c>
      <c r="B48" s="517">
        <v>43893</v>
      </c>
      <c r="C48" s="268" t="s">
        <v>3533</v>
      </c>
      <c r="D48" s="268" t="s">
        <v>338</v>
      </c>
      <c r="E48" s="267" t="s">
        <v>3532</v>
      </c>
      <c r="F48" s="268" t="s">
        <v>3534</v>
      </c>
      <c r="G48" s="267"/>
      <c r="H48" s="269"/>
      <c r="I48" s="269"/>
      <c r="J48" s="269" t="s">
        <v>416</v>
      </c>
      <c r="K48" s="269" t="s">
        <v>72</v>
      </c>
      <c r="L48" s="270">
        <v>1100000</v>
      </c>
      <c r="M48" s="270">
        <v>1100000</v>
      </c>
      <c r="N48" s="269" t="s">
        <v>73</v>
      </c>
      <c r="O48" s="266"/>
      <c r="P48" s="266"/>
      <c r="Q48" s="271">
        <v>0.25</v>
      </c>
      <c r="R48" s="278">
        <f t="shared" si="3"/>
        <v>275000</v>
      </c>
      <c r="S48" s="266">
        <f t="shared" si="0"/>
        <v>385000</v>
      </c>
      <c r="T48" s="279">
        <f t="shared" si="4"/>
        <v>110000</v>
      </c>
      <c r="U48" s="266"/>
    </row>
    <row r="49" spans="1:21" s="272" customFormat="1" ht="47.25" x14ac:dyDescent="0.25">
      <c r="A49" s="266">
        <v>46</v>
      </c>
      <c r="B49" s="517">
        <v>43893</v>
      </c>
      <c r="C49" s="268" t="s">
        <v>358</v>
      </c>
      <c r="D49" s="268" t="s">
        <v>338</v>
      </c>
      <c r="E49" s="267" t="s">
        <v>359</v>
      </c>
      <c r="F49" s="268" t="s">
        <v>3569</v>
      </c>
      <c r="G49" s="267"/>
      <c r="H49" s="269"/>
      <c r="I49" s="269"/>
      <c r="J49" s="269" t="s">
        <v>416</v>
      </c>
      <c r="K49" s="269" t="s">
        <v>72</v>
      </c>
      <c r="L49" s="270">
        <v>1100000</v>
      </c>
      <c r="M49" s="270">
        <v>1100000</v>
      </c>
      <c r="N49" s="269" t="s">
        <v>73</v>
      </c>
      <c r="O49" s="266"/>
      <c r="P49" s="266"/>
      <c r="Q49" s="271">
        <v>0.25</v>
      </c>
      <c r="R49" s="278">
        <f>M49*Q49</f>
        <v>275000</v>
      </c>
      <c r="S49" s="266">
        <f t="shared" ref="S49:S73" si="5">L49*0.35</f>
        <v>385000</v>
      </c>
      <c r="T49" s="279">
        <f t="shared" ref="T49:T75" si="6">S49-R49</f>
        <v>110000</v>
      </c>
      <c r="U49" s="266"/>
    </row>
    <row r="50" spans="1:21" ht="31.5" x14ac:dyDescent="0.25">
      <c r="A50" s="19">
        <v>47</v>
      </c>
      <c r="B50" s="122">
        <v>43924</v>
      </c>
      <c r="C50" s="157" t="s">
        <v>3570</v>
      </c>
      <c r="D50" s="157" t="s">
        <v>457</v>
      </c>
      <c r="E50" s="29" t="s">
        <v>3571</v>
      </c>
      <c r="F50" s="157" t="s">
        <v>3572</v>
      </c>
      <c r="G50" s="29"/>
      <c r="H50" s="10"/>
      <c r="I50" s="10"/>
      <c r="J50" s="10" t="s">
        <v>416</v>
      </c>
      <c r="K50" s="10" t="s">
        <v>72</v>
      </c>
      <c r="L50" s="11">
        <v>1100000</v>
      </c>
      <c r="M50" s="11">
        <v>1100000</v>
      </c>
      <c r="N50" s="10" t="s">
        <v>73</v>
      </c>
      <c r="O50" s="19"/>
      <c r="P50" s="19"/>
      <c r="Q50" s="165">
        <v>0.25</v>
      </c>
      <c r="R50" s="13">
        <f>M50*Q50</f>
        <v>275000</v>
      </c>
      <c r="S50" s="19">
        <f t="shared" si="5"/>
        <v>385000</v>
      </c>
      <c r="T50" s="99">
        <f t="shared" si="6"/>
        <v>110000</v>
      </c>
      <c r="U50" s="19" t="s">
        <v>3081</v>
      </c>
    </row>
    <row r="51" spans="1:21" ht="31.5" x14ac:dyDescent="0.25">
      <c r="A51" s="19">
        <v>48</v>
      </c>
      <c r="B51" s="122">
        <v>43924</v>
      </c>
      <c r="C51" s="157" t="s">
        <v>3574</v>
      </c>
      <c r="D51" s="157"/>
      <c r="E51" s="29" t="s">
        <v>3573</v>
      </c>
      <c r="F51" s="157" t="s">
        <v>3576</v>
      </c>
      <c r="G51" s="29" t="s">
        <v>3575</v>
      </c>
      <c r="H51" s="10"/>
      <c r="I51" s="10"/>
      <c r="J51" s="10" t="s">
        <v>416</v>
      </c>
      <c r="K51" s="10" t="s">
        <v>72</v>
      </c>
      <c r="L51" s="11">
        <v>1100000</v>
      </c>
      <c r="M51" s="11">
        <v>1100000</v>
      </c>
      <c r="N51" s="10" t="s">
        <v>73</v>
      </c>
      <c r="O51" s="19"/>
      <c r="P51" s="19"/>
      <c r="Q51" s="165">
        <v>0.25</v>
      </c>
      <c r="R51" s="13">
        <f t="shared" ref="R51:R77" si="7">M51*Q51</f>
        <v>275000</v>
      </c>
      <c r="S51" s="19">
        <f t="shared" si="5"/>
        <v>385000</v>
      </c>
      <c r="T51" s="99">
        <f t="shared" si="6"/>
        <v>110000</v>
      </c>
      <c r="U51" s="19" t="s">
        <v>3081</v>
      </c>
    </row>
    <row r="52" spans="1:21" ht="31.5" x14ac:dyDescent="0.25">
      <c r="A52" s="19">
        <v>49</v>
      </c>
      <c r="B52" s="122">
        <v>43985</v>
      </c>
      <c r="C52" s="157" t="s">
        <v>3578</v>
      </c>
      <c r="D52" s="157" t="s">
        <v>562</v>
      </c>
      <c r="E52" s="29" t="s">
        <v>3577</v>
      </c>
      <c r="F52" s="157" t="s">
        <v>3579</v>
      </c>
      <c r="G52" s="29" t="s">
        <v>3580</v>
      </c>
      <c r="H52" s="10"/>
      <c r="I52" s="10"/>
      <c r="J52" s="10" t="s">
        <v>416</v>
      </c>
      <c r="K52" s="10" t="s">
        <v>72</v>
      </c>
      <c r="L52" s="11">
        <v>1100000</v>
      </c>
      <c r="M52" s="11">
        <v>1100000</v>
      </c>
      <c r="N52" s="10" t="s">
        <v>73</v>
      </c>
      <c r="O52" s="19"/>
      <c r="P52" s="19"/>
      <c r="Q52" s="165">
        <v>0.25</v>
      </c>
      <c r="R52" s="13">
        <f>M52*Q52</f>
        <v>275000</v>
      </c>
      <c r="S52" s="19">
        <f t="shared" si="5"/>
        <v>385000</v>
      </c>
      <c r="T52" s="99">
        <f t="shared" si="6"/>
        <v>110000</v>
      </c>
      <c r="U52" s="19" t="s">
        <v>3824</v>
      </c>
    </row>
    <row r="53" spans="1:21" ht="31.5" x14ac:dyDescent="0.25">
      <c r="A53" s="19">
        <v>50</v>
      </c>
      <c r="B53" s="122">
        <v>43915</v>
      </c>
      <c r="C53" s="157" t="s">
        <v>3645</v>
      </c>
      <c r="D53" s="157"/>
      <c r="E53" s="29" t="s">
        <v>3647</v>
      </c>
      <c r="F53" s="157" t="s">
        <v>3648</v>
      </c>
      <c r="G53" s="29" t="s">
        <v>3711</v>
      </c>
      <c r="H53" s="10"/>
      <c r="I53" s="10"/>
      <c r="J53" s="10" t="s">
        <v>416</v>
      </c>
      <c r="K53" s="10" t="s">
        <v>72</v>
      </c>
      <c r="L53" s="11">
        <v>1100000</v>
      </c>
      <c r="M53" s="11">
        <v>1100000</v>
      </c>
      <c r="N53" s="10" t="s">
        <v>73</v>
      </c>
      <c r="O53" s="19"/>
      <c r="P53" s="19"/>
      <c r="Q53" s="165">
        <v>0.25</v>
      </c>
      <c r="R53" s="13">
        <f>M53*Q53</f>
        <v>275000</v>
      </c>
      <c r="S53" s="19">
        <f t="shared" si="5"/>
        <v>385000</v>
      </c>
      <c r="T53" s="99">
        <f t="shared" si="6"/>
        <v>110000</v>
      </c>
      <c r="U53" s="19"/>
    </row>
    <row r="54" spans="1:21" ht="47.25" x14ac:dyDescent="0.25">
      <c r="A54" s="19">
        <v>51</v>
      </c>
      <c r="B54" s="122">
        <v>43917</v>
      </c>
      <c r="C54" s="157" t="s">
        <v>3712</v>
      </c>
      <c r="D54" s="157" t="s">
        <v>338</v>
      </c>
      <c r="E54" s="29" t="s">
        <v>2299</v>
      </c>
      <c r="F54" s="157" t="s">
        <v>2298</v>
      </c>
      <c r="G54" s="29" t="s">
        <v>1960</v>
      </c>
      <c r="H54" s="10"/>
      <c r="I54" s="10"/>
      <c r="J54" s="10" t="s">
        <v>416</v>
      </c>
      <c r="K54" s="10" t="s">
        <v>72</v>
      </c>
      <c r="L54" s="11">
        <v>1100000</v>
      </c>
      <c r="M54" s="11">
        <v>1100000</v>
      </c>
      <c r="N54" s="10" t="s">
        <v>73</v>
      </c>
      <c r="O54" s="19"/>
      <c r="P54" s="19"/>
      <c r="Q54" s="165">
        <v>0.25</v>
      </c>
      <c r="R54" s="13">
        <f>M54*Q54</f>
        <v>275000</v>
      </c>
      <c r="S54" s="19">
        <f t="shared" si="5"/>
        <v>385000</v>
      </c>
      <c r="T54" s="99">
        <f t="shared" si="6"/>
        <v>110000</v>
      </c>
      <c r="U54" s="19"/>
    </row>
    <row r="55" spans="1:21" s="272" customFormat="1" ht="47.25" x14ac:dyDescent="0.25">
      <c r="A55" s="266">
        <v>52</v>
      </c>
      <c r="B55" s="517">
        <v>43948</v>
      </c>
      <c r="C55" s="268" t="s">
        <v>3945</v>
      </c>
      <c r="D55" s="268" t="s">
        <v>309</v>
      </c>
      <c r="E55" s="267" t="s">
        <v>3988</v>
      </c>
      <c r="F55" s="268" t="s">
        <v>3946</v>
      </c>
      <c r="G55" s="267"/>
      <c r="H55" s="269"/>
      <c r="I55" s="269"/>
      <c r="J55" s="269" t="s">
        <v>416</v>
      </c>
      <c r="K55" s="269" t="s">
        <v>72</v>
      </c>
      <c r="L55" s="270">
        <v>1100000</v>
      </c>
      <c r="M55" s="270">
        <v>1100000</v>
      </c>
      <c r="N55" s="269" t="s">
        <v>73</v>
      </c>
      <c r="O55" s="266"/>
      <c r="P55" s="266"/>
      <c r="Q55" s="271">
        <v>0.25</v>
      </c>
      <c r="R55" s="278">
        <f t="shared" si="7"/>
        <v>275000</v>
      </c>
      <c r="S55" s="266">
        <f t="shared" si="5"/>
        <v>385000</v>
      </c>
      <c r="T55" s="279">
        <f t="shared" si="6"/>
        <v>110000</v>
      </c>
      <c r="U55" s="266"/>
    </row>
    <row r="56" spans="1:21" ht="47.25" x14ac:dyDescent="0.25">
      <c r="A56" s="19">
        <v>53</v>
      </c>
      <c r="B56" s="22">
        <v>43955</v>
      </c>
      <c r="C56" s="148" t="s">
        <v>3990</v>
      </c>
      <c r="D56" s="148" t="s">
        <v>2130</v>
      </c>
      <c r="E56" s="101" t="s">
        <v>3989</v>
      </c>
      <c r="F56" s="157" t="s">
        <v>3991</v>
      </c>
      <c r="G56" s="101"/>
      <c r="H56" s="19"/>
      <c r="I56" s="10"/>
      <c r="J56" s="10" t="s">
        <v>416</v>
      </c>
      <c r="K56" s="10" t="s">
        <v>72</v>
      </c>
      <c r="L56" s="11">
        <v>1100000</v>
      </c>
      <c r="M56" s="11">
        <v>1100000</v>
      </c>
      <c r="N56" s="10" t="s">
        <v>73</v>
      </c>
      <c r="O56" s="19"/>
      <c r="P56" s="19"/>
      <c r="Q56" s="165">
        <v>0.25</v>
      </c>
      <c r="R56" s="13">
        <f t="shared" si="7"/>
        <v>275000</v>
      </c>
      <c r="S56" s="19">
        <f t="shared" si="5"/>
        <v>385000</v>
      </c>
      <c r="T56" s="99">
        <f t="shared" si="6"/>
        <v>110000</v>
      </c>
      <c r="U56" s="19"/>
    </row>
    <row r="57" spans="1:21" ht="31.5" x14ac:dyDescent="0.25">
      <c r="A57" s="19">
        <v>54</v>
      </c>
      <c r="B57" s="22">
        <v>43957</v>
      </c>
      <c r="C57" s="148" t="s">
        <v>3006</v>
      </c>
      <c r="D57" s="148" t="s">
        <v>309</v>
      </c>
      <c r="E57" s="101" t="s">
        <v>3005</v>
      </c>
      <c r="F57" s="157" t="s">
        <v>3007</v>
      </c>
      <c r="G57" s="101"/>
      <c r="H57" s="19"/>
      <c r="I57" s="10"/>
      <c r="J57" s="10" t="s">
        <v>416</v>
      </c>
      <c r="K57" s="10" t="s">
        <v>72</v>
      </c>
      <c r="L57" s="11">
        <v>1100000</v>
      </c>
      <c r="M57" s="11">
        <v>1100000</v>
      </c>
      <c r="N57" s="10" t="s">
        <v>73</v>
      </c>
      <c r="O57" s="19"/>
      <c r="P57" s="19"/>
      <c r="Q57" s="165">
        <v>0.25</v>
      </c>
      <c r="R57" s="13">
        <f t="shared" si="7"/>
        <v>275000</v>
      </c>
      <c r="S57" s="19">
        <f t="shared" si="5"/>
        <v>385000</v>
      </c>
      <c r="T57" s="99">
        <f t="shared" si="6"/>
        <v>110000</v>
      </c>
      <c r="U57" s="19"/>
    </row>
    <row r="58" spans="1:21" s="272" customFormat="1" ht="31.5" x14ac:dyDescent="0.25">
      <c r="A58" s="266">
        <v>55</v>
      </c>
      <c r="B58" s="373">
        <v>43963</v>
      </c>
      <c r="C58" s="358" t="s">
        <v>4001</v>
      </c>
      <c r="D58" s="358" t="s">
        <v>309</v>
      </c>
      <c r="E58" s="335" t="s">
        <v>4002</v>
      </c>
      <c r="F58" s="268" t="s">
        <v>4003</v>
      </c>
      <c r="G58" s="335"/>
      <c r="H58" s="266"/>
      <c r="I58" s="269"/>
      <c r="J58" s="269" t="s">
        <v>416</v>
      </c>
      <c r="K58" s="269" t="s">
        <v>72</v>
      </c>
      <c r="L58" s="270">
        <v>1100000</v>
      </c>
      <c r="M58" s="270">
        <v>1100000</v>
      </c>
      <c r="N58" s="269" t="s">
        <v>73</v>
      </c>
      <c r="O58" s="266"/>
      <c r="P58" s="266"/>
      <c r="Q58" s="271">
        <v>0.25</v>
      </c>
      <c r="R58" s="278">
        <f t="shared" ref="R58" si="8">M58*Q58</f>
        <v>275000</v>
      </c>
      <c r="S58" s="266">
        <f t="shared" si="5"/>
        <v>385000</v>
      </c>
      <c r="T58" s="279">
        <f t="shared" si="6"/>
        <v>110000</v>
      </c>
      <c r="U58" s="266"/>
    </row>
    <row r="59" spans="1:21" s="272" customFormat="1" ht="31.5" x14ac:dyDescent="0.25">
      <c r="A59" s="266">
        <v>56</v>
      </c>
      <c r="B59" s="373">
        <v>43963</v>
      </c>
      <c r="C59" s="358" t="s">
        <v>3547</v>
      </c>
      <c r="D59" s="358" t="s">
        <v>309</v>
      </c>
      <c r="E59" s="335" t="s">
        <v>3549</v>
      </c>
      <c r="F59" s="268" t="s">
        <v>3548</v>
      </c>
      <c r="G59" s="335"/>
      <c r="H59" s="266"/>
      <c r="I59" s="269"/>
      <c r="J59" s="269" t="s">
        <v>416</v>
      </c>
      <c r="K59" s="269" t="s">
        <v>72</v>
      </c>
      <c r="L59" s="270">
        <v>1100000</v>
      </c>
      <c r="M59" s="270">
        <v>1100000</v>
      </c>
      <c r="N59" s="269" t="s">
        <v>73</v>
      </c>
      <c r="O59" s="266"/>
      <c r="P59" s="266"/>
      <c r="Q59" s="271">
        <v>0.25</v>
      </c>
      <c r="R59" s="278">
        <f t="shared" ref="R59" si="9">M59*Q59</f>
        <v>275000</v>
      </c>
      <c r="S59" s="266">
        <f t="shared" si="5"/>
        <v>385000</v>
      </c>
      <c r="T59" s="279">
        <f t="shared" si="6"/>
        <v>110000</v>
      </c>
      <c r="U59" s="266"/>
    </row>
    <row r="60" spans="1:21" s="272" customFormat="1" ht="31.5" x14ac:dyDescent="0.25">
      <c r="A60" s="266">
        <v>57</v>
      </c>
      <c r="B60" s="373">
        <v>43964</v>
      </c>
      <c r="C60" s="358" t="s">
        <v>3100</v>
      </c>
      <c r="D60" s="358" t="s">
        <v>309</v>
      </c>
      <c r="E60" s="335" t="s">
        <v>3099</v>
      </c>
      <c r="F60" s="268" t="s">
        <v>3101</v>
      </c>
      <c r="G60" s="335"/>
      <c r="H60" s="266"/>
      <c r="I60" s="269"/>
      <c r="J60" s="269" t="s">
        <v>416</v>
      </c>
      <c r="K60" s="269" t="s">
        <v>72</v>
      </c>
      <c r="L60" s="270">
        <v>1100000</v>
      </c>
      <c r="M60" s="270">
        <v>1100000</v>
      </c>
      <c r="N60" s="269" t="s">
        <v>73</v>
      </c>
      <c r="O60" s="266"/>
      <c r="P60" s="266"/>
      <c r="Q60" s="271">
        <v>0.25</v>
      </c>
      <c r="R60" s="278">
        <f t="shared" si="7"/>
        <v>275000</v>
      </c>
      <c r="S60" s="266">
        <f t="shared" si="5"/>
        <v>385000</v>
      </c>
      <c r="T60" s="279">
        <f t="shared" si="6"/>
        <v>110000</v>
      </c>
      <c r="U60" s="266"/>
    </row>
    <row r="61" spans="1:21" ht="47.25" x14ac:dyDescent="0.25">
      <c r="A61" s="19">
        <v>58</v>
      </c>
      <c r="B61" s="22">
        <v>43965</v>
      </c>
      <c r="C61" s="148" t="s">
        <v>4031</v>
      </c>
      <c r="D61" s="148" t="s">
        <v>510</v>
      </c>
      <c r="E61" s="101" t="s">
        <v>198</v>
      </c>
      <c r="F61" s="157" t="s">
        <v>4032</v>
      </c>
      <c r="G61" s="101"/>
      <c r="H61" s="19"/>
      <c r="I61" s="10"/>
      <c r="J61" s="10" t="s">
        <v>416</v>
      </c>
      <c r="K61" s="10" t="s">
        <v>72</v>
      </c>
      <c r="L61" s="11">
        <v>1100000</v>
      </c>
      <c r="M61" s="11">
        <v>1100000</v>
      </c>
      <c r="N61" s="10" t="s">
        <v>73</v>
      </c>
      <c r="O61" s="19"/>
      <c r="P61" s="19"/>
      <c r="Q61" s="165">
        <v>0.25</v>
      </c>
      <c r="R61" s="13">
        <f t="shared" si="7"/>
        <v>275000</v>
      </c>
      <c r="S61" s="19">
        <f t="shared" si="5"/>
        <v>385000</v>
      </c>
      <c r="T61" s="99">
        <f t="shared" si="6"/>
        <v>110000</v>
      </c>
      <c r="U61" s="19" t="s">
        <v>4147</v>
      </c>
    </row>
    <row r="62" spans="1:21" ht="47.25" x14ac:dyDescent="0.25">
      <c r="A62" s="19">
        <v>59</v>
      </c>
      <c r="B62" s="22">
        <v>43969</v>
      </c>
      <c r="C62" s="148" t="s">
        <v>1065</v>
      </c>
      <c r="D62" s="148" t="s">
        <v>4070</v>
      </c>
      <c r="E62" s="101" t="s">
        <v>1066</v>
      </c>
      <c r="F62" s="157" t="s">
        <v>4071</v>
      </c>
      <c r="G62" s="101" t="s">
        <v>4070</v>
      </c>
      <c r="H62" s="19"/>
      <c r="I62" s="10"/>
      <c r="J62" s="10" t="s">
        <v>416</v>
      </c>
      <c r="K62" s="10" t="s">
        <v>72</v>
      </c>
      <c r="L62" s="11">
        <v>1100000</v>
      </c>
      <c r="M62" s="11">
        <v>1100000</v>
      </c>
      <c r="N62" s="10" t="s">
        <v>73</v>
      </c>
      <c r="O62" s="19"/>
      <c r="P62" s="19"/>
      <c r="Q62" s="165"/>
      <c r="R62" s="13">
        <f t="shared" si="7"/>
        <v>0</v>
      </c>
      <c r="S62" s="19">
        <f t="shared" si="5"/>
        <v>385000</v>
      </c>
      <c r="T62" s="99">
        <f t="shared" si="6"/>
        <v>385000</v>
      </c>
      <c r="U62" s="19" t="s">
        <v>3081</v>
      </c>
    </row>
    <row r="63" spans="1:21" ht="47.25" x14ac:dyDescent="0.25">
      <c r="A63" s="19">
        <v>60</v>
      </c>
      <c r="B63" s="22">
        <v>43971</v>
      </c>
      <c r="C63" s="148" t="s">
        <v>4072</v>
      </c>
      <c r="D63" s="148"/>
      <c r="E63" s="101" t="s">
        <v>4073</v>
      </c>
      <c r="F63" s="157" t="s">
        <v>4074</v>
      </c>
      <c r="G63" s="101" t="s">
        <v>4075</v>
      </c>
      <c r="H63" s="19"/>
      <c r="I63" s="10"/>
      <c r="J63" s="10" t="s">
        <v>416</v>
      </c>
      <c r="K63" s="10" t="s">
        <v>72</v>
      </c>
      <c r="L63" s="11">
        <v>1100000</v>
      </c>
      <c r="M63" s="11">
        <v>1100000</v>
      </c>
      <c r="N63" s="10" t="s">
        <v>73</v>
      </c>
      <c r="O63" s="19"/>
      <c r="P63" s="19"/>
      <c r="Q63" s="165">
        <v>0.25</v>
      </c>
      <c r="R63" s="13">
        <f t="shared" si="7"/>
        <v>275000</v>
      </c>
      <c r="S63" s="19">
        <f t="shared" si="5"/>
        <v>385000</v>
      </c>
      <c r="T63" s="99">
        <f t="shared" si="6"/>
        <v>110000</v>
      </c>
      <c r="U63" s="19" t="s">
        <v>4204</v>
      </c>
    </row>
    <row r="64" spans="1:21" s="272" customFormat="1" ht="47.25" x14ac:dyDescent="0.25">
      <c r="A64" s="266">
        <v>61</v>
      </c>
      <c r="B64" s="373">
        <v>43978</v>
      </c>
      <c r="C64" s="358" t="s">
        <v>4136</v>
      </c>
      <c r="D64" s="358" t="s">
        <v>309</v>
      </c>
      <c r="E64" s="335" t="s">
        <v>4135</v>
      </c>
      <c r="F64" s="268" t="s">
        <v>4137</v>
      </c>
      <c r="G64" s="335"/>
      <c r="H64" s="266"/>
      <c r="I64" s="269"/>
      <c r="J64" s="269" t="s">
        <v>416</v>
      </c>
      <c r="K64" s="269" t="s">
        <v>72</v>
      </c>
      <c r="L64" s="270">
        <v>1100000</v>
      </c>
      <c r="M64" s="270">
        <v>1100000</v>
      </c>
      <c r="N64" s="269" t="s">
        <v>73</v>
      </c>
      <c r="O64" s="266"/>
      <c r="P64" s="266"/>
      <c r="Q64" s="271">
        <v>0.25</v>
      </c>
      <c r="R64" s="278">
        <f t="shared" si="7"/>
        <v>275000</v>
      </c>
      <c r="S64" s="266">
        <f t="shared" si="5"/>
        <v>385000</v>
      </c>
      <c r="T64" s="279">
        <f t="shared" si="6"/>
        <v>110000</v>
      </c>
      <c r="U64" s="266"/>
    </row>
    <row r="65" spans="1:21" s="272" customFormat="1" ht="47.25" x14ac:dyDescent="0.25">
      <c r="A65" s="266">
        <v>62</v>
      </c>
      <c r="B65" s="373">
        <v>43993</v>
      </c>
      <c r="C65" s="358" t="s">
        <v>2554</v>
      </c>
      <c r="D65" s="358" t="s">
        <v>4275</v>
      </c>
      <c r="E65" s="335" t="s">
        <v>2553</v>
      </c>
      <c r="F65" s="268" t="s">
        <v>4276</v>
      </c>
      <c r="G65" s="335" t="s">
        <v>4277</v>
      </c>
      <c r="H65" s="266"/>
      <c r="I65" s="269"/>
      <c r="J65" s="269" t="s">
        <v>416</v>
      </c>
      <c r="K65" s="269" t="s">
        <v>72</v>
      </c>
      <c r="L65" s="270">
        <v>1100000</v>
      </c>
      <c r="M65" s="270">
        <v>1100000</v>
      </c>
      <c r="N65" s="269" t="s">
        <v>73</v>
      </c>
      <c r="O65" s="266"/>
      <c r="P65" s="266"/>
      <c r="Q65" s="271"/>
      <c r="R65" s="278">
        <v>100000</v>
      </c>
      <c r="S65" s="266">
        <f t="shared" si="5"/>
        <v>385000</v>
      </c>
      <c r="T65" s="279">
        <f t="shared" si="6"/>
        <v>285000</v>
      </c>
      <c r="U65" s="266"/>
    </row>
    <row r="66" spans="1:21" s="272" customFormat="1" ht="31.5" x14ac:dyDescent="0.25">
      <c r="A66" s="266">
        <v>63</v>
      </c>
      <c r="B66" s="373">
        <v>44006</v>
      </c>
      <c r="C66" s="358" t="s">
        <v>4829</v>
      </c>
      <c r="D66" s="358" t="s">
        <v>1260</v>
      </c>
      <c r="E66" s="335" t="s">
        <v>1205</v>
      </c>
      <c r="F66" s="268" t="s">
        <v>2308</v>
      </c>
      <c r="G66" s="335" t="s">
        <v>1192</v>
      </c>
      <c r="H66" s="266"/>
      <c r="I66" s="269"/>
      <c r="J66" s="269" t="s">
        <v>416</v>
      </c>
      <c r="K66" s="269" t="s">
        <v>72</v>
      </c>
      <c r="L66" s="270">
        <v>1100000</v>
      </c>
      <c r="M66" s="270">
        <v>1100000</v>
      </c>
      <c r="N66" s="269" t="s">
        <v>73</v>
      </c>
      <c r="O66" s="266"/>
      <c r="P66" s="266"/>
      <c r="Q66" s="271">
        <v>0.25</v>
      </c>
      <c r="R66" s="278">
        <f t="shared" si="7"/>
        <v>275000</v>
      </c>
      <c r="S66" s="266">
        <f t="shared" si="5"/>
        <v>385000</v>
      </c>
      <c r="T66" s="279">
        <f t="shared" si="6"/>
        <v>110000</v>
      </c>
      <c r="U66" s="266"/>
    </row>
    <row r="67" spans="1:21" x14ac:dyDescent="0.25">
      <c r="A67" s="19"/>
      <c r="B67" s="19"/>
      <c r="C67" s="148"/>
      <c r="D67" s="148"/>
      <c r="E67" s="101"/>
      <c r="F67" s="157"/>
      <c r="G67" s="101"/>
      <c r="H67" s="19"/>
      <c r="I67" s="10"/>
      <c r="J67" s="10"/>
      <c r="K67" s="19"/>
      <c r="L67" s="13"/>
      <c r="M67" s="10"/>
      <c r="N67" s="19"/>
      <c r="O67" s="19"/>
      <c r="P67" s="19"/>
      <c r="Q67" s="19"/>
      <c r="R67" s="278">
        <f t="shared" si="7"/>
        <v>0</v>
      </c>
      <c r="S67" s="266">
        <f t="shared" si="5"/>
        <v>0</v>
      </c>
      <c r="T67" s="279">
        <f t="shared" si="6"/>
        <v>0</v>
      </c>
      <c r="U67" s="19"/>
    </row>
    <row r="68" spans="1:21" x14ac:dyDescent="0.25">
      <c r="A68" s="19"/>
      <c r="B68" s="19"/>
      <c r="C68" s="148"/>
      <c r="D68" s="148"/>
      <c r="E68" s="101"/>
      <c r="F68" s="157"/>
      <c r="G68" s="101"/>
      <c r="H68" s="19"/>
      <c r="I68" s="10"/>
      <c r="J68" s="10"/>
      <c r="K68" s="19"/>
      <c r="L68" s="13"/>
      <c r="M68" s="10"/>
      <c r="N68" s="19"/>
      <c r="O68" s="19"/>
      <c r="P68" s="19"/>
      <c r="Q68" s="19"/>
      <c r="R68" s="278">
        <f t="shared" si="7"/>
        <v>0</v>
      </c>
      <c r="S68" s="266">
        <f t="shared" si="5"/>
        <v>0</v>
      </c>
      <c r="T68" s="279">
        <f t="shared" si="6"/>
        <v>0</v>
      </c>
      <c r="U68" s="19"/>
    </row>
    <row r="69" spans="1:21" x14ac:dyDescent="0.25">
      <c r="A69" s="19"/>
      <c r="B69" s="19"/>
      <c r="C69" s="148"/>
      <c r="D69" s="148"/>
      <c r="E69" s="101"/>
      <c r="F69" s="157"/>
      <c r="G69" s="101"/>
      <c r="H69" s="19"/>
      <c r="I69" s="10"/>
      <c r="J69" s="10"/>
      <c r="K69" s="19"/>
      <c r="L69" s="13"/>
      <c r="M69" s="10"/>
      <c r="N69" s="19"/>
      <c r="O69" s="19"/>
      <c r="P69" s="19"/>
      <c r="Q69" s="19"/>
      <c r="R69" s="278">
        <f t="shared" si="7"/>
        <v>0</v>
      </c>
      <c r="S69" s="266">
        <f t="shared" si="5"/>
        <v>0</v>
      </c>
      <c r="T69" s="279">
        <f t="shared" si="6"/>
        <v>0</v>
      </c>
      <c r="U69" s="19"/>
    </row>
    <row r="70" spans="1:21" x14ac:dyDescent="0.25">
      <c r="A70" s="19"/>
      <c r="B70" s="19"/>
      <c r="C70" s="148"/>
      <c r="D70" s="148"/>
      <c r="E70" s="101"/>
      <c r="F70" s="157"/>
      <c r="G70" s="101"/>
      <c r="H70" s="19"/>
      <c r="I70" s="10"/>
      <c r="J70" s="10"/>
      <c r="K70" s="19"/>
      <c r="L70" s="13"/>
      <c r="M70" s="10"/>
      <c r="N70" s="19"/>
      <c r="O70" s="19"/>
      <c r="P70" s="19"/>
      <c r="Q70" s="19"/>
      <c r="R70" s="278">
        <f t="shared" si="7"/>
        <v>0</v>
      </c>
      <c r="S70" s="266">
        <f t="shared" si="5"/>
        <v>0</v>
      </c>
      <c r="T70" s="279">
        <f t="shared" si="6"/>
        <v>0</v>
      </c>
      <c r="U70" s="19"/>
    </row>
    <row r="71" spans="1:21" x14ac:dyDescent="0.25">
      <c r="A71" s="19"/>
      <c r="B71" s="19"/>
      <c r="C71" s="148"/>
      <c r="D71" s="148"/>
      <c r="E71" s="101"/>
      <c r="F71" s="157"/>
      <c r="G71" s="101"/>
      <c r="H71" s="19"/>
      <c r="I71" s="10"/>
      <c r="J71" s="10"/>
      <c r="K71" s="19"/>
      <c r="L71" s="13"/>
      <c r="M71" s="10"/>
      <c r="N71" s="19"/>
      <c r="O71" s="19"/>
      <c r="P71" s="19"/>
      <c r="Q71" s="19"/>
      <c r="R71" s="278">
        <f t="shared" si="7"/>
        <v>0</v>
      </c>
      <c r="S71" s="266">
        <f t="shared" si="5"/>
        <v>0</v>
      </c>
      <c r="T71" s="279">
        <f t="shared" si="6"/>
        <v>0</v>
      </c>
      <c r="U71" s="19"/>
    </row>
    <row r="72" spans="1:21" x14ac:dyDescent="0.25">
      <c r="A72" s="19"/>
      <c r="B72" s="19"/>
      <c r="C72" s="148"/>
      <c r="D72" s="148"/>
      <c r="E72" s="101"/>
      <c r="F72" s="157"/>
      <c r="G72" s="101"/>
      <c r="H72" s="19"/>
      <c r="I72" s="10"/>
      <c r="J72" s="10"/>
      <c r="K72" s="19"/>
      <c r="L72" s="13"/>
      <c r="M72" s="10"/>
      <c r="N72" s="19"/>
      <c r="O72" s="19"/>
      <c r="P72" s="19"/>
      <c r="Q72" s="19"/>
      <c r="R72" s="278">
        <f t="shared" si="7"/>
        <v>0</v>
      </c>
      <c r="S72" s="266">
        <f t="shared" si="5"/>
        <v>0</v>
      </c>
      <c r="T72" s="279">
        <f t="shared" si="6"/>
        <v>0</v>
      </c>
      <c r="U72" s="19"/>
    </row>
    <row r="73" spans="1:21" x14ac:dyDescent="0.25">
      <c r="R73" s="278">
        <f t="shared" si="7"/>
        <v>0</v>
      </c>
      <c r="S73" s="266">
        <f t="shared" si="5"/>
        <v>0</v>
      </c>
      <c r="T73" s="279">
        <f t="shared" si="6"/>
        <v>0</v>
      </c>
    </row>
    <row r="74" spans="1:21" x14ac:dyDescent="0.25">
      <c r="R74" s="278">
        <f t="shared" si="7"/>
        <v>0</v>
      </c>
      <c r="T74" s="279">
        <f t="shared" si="6"/>
        <v>0</v>
      </c>
    </row>
    <row r="75" spans="1:21" x14ac:dyDescent="0.25">
      <c r="R75" s="278">
        <f t="shared" si="7"/>
        <v>0</v>
      </c>
      <c r="T75" s="279">
        <f t="shared" si="6"/>
        <v>0</v>
      </c>
    </row>
    <row r="76" spans="1:21" x14ac:dyDescent="0.25">
      <c r="R76" s="278">
        <f t="shared" si="7"/>
        <v>0</v>
      </c>
    </row>
    <row r="77" spans="1:21" x14ac:dyDescent="0.25">
      <c r="R77" s="278">
        <f t="shared" si="7"/>
        <v>0</v>
      </c>
    </row>
  </sheetData>
  <protectedRanges>
    <protectedRange sqref="C6:D6 G6:H6" name="NHAP_DL_10_1_2_34_9"/>
    <protectedRange sqref="E6:F6" name="NHAP_DL_10_1_2_34_9_1"/>
    <protectedRange sqref="I6:L6 K8" name="NHAP_DL_10_1_2_34_9_1_1"/>
    <protectedRange sqref="C26" name="NHAP_DL_10_1_2_34_9_1_2"/>
    <protectedRange sqref="E26" name="NHAP_DL_10_1_2_34_9_1_3"/>
  </protectedRanges>
  <autoFilter ref="A4:V60"/>
  <dataValidations count="3">
    <dataValidation type="list" allowBlank="1" showInputMessage="1" showErrorMessage="1" sqref="J4 JG4 TC4 ACY4 AMU4 AWQ4 BGM4 BQI4 CAE4 CKA4 CTW4 DDS4 DNO4 DXK4 EHG4 ERC4 FAY4 FKU4 FUQ4 GEM4 GOI4 GYE4 HIA4 HRW4 IBS4 ILO4 IVK4 JFG4 JPC4 JYY4 KIU4 KSQ4 LCM4 LMI4 LWE4 MGA4 MPW4 MZS4 NJO4 NTK4 ODG4 ONC4 OWY4 PGU4 PQQ4 QAM4 QKI4 QUE4 REA4 RNW4 RXS4 SHO4 SRK4 TBG4 TLC4 TUY4 UEU4 UOQ4 UYM4 VII4 VSE4 WCA4 WLW4 WVS4 J65540 JG65540 TC65540 ACY65540 AMU65540 AWQ65540 BGM65540 BQI65540 CAE65540 CKA65540 CTW65540 DDS65540 DNO65540 DXK65540 EHG65540 ERC65540 FAY65540 FKU65540 FUQ65540 GEM65540 GOI65540 GYE65540 HIA65540 HRW65540 IBS65540 ILO65540 IVK65540 JFG65540 JPC65540 JYY65540 KIU65540 KSQ65540 LCM65540 LMI65540 LWE65540 MGA65540 MPW65540 MZS65540 NJO65540 NTK65540 ODG65540 ONC65540 OWY65540 PGU65540 PQQ65540 QAM65540 QKI65540 QUE65540 REA65540 RNW65540 RXS65540 SHO65540 SRK65540 TBG65540 TLC65540 TUY65540 UEU65540 UOQ65540 UYM65540 VII65540 VSE65540 WCA65540 WLW65540 WVS65540 J131076 JG131076 TC131076 ACY131076 AMU131076 AWQ131076 BGM131076 BQI131076 CAE131076 CKA131076 CTW131076 DDS131076 DNO131076 DXK131076 EHG131076 ERC131076 FAY131076 FKU131076 FUQ131076 GEM131076 GOI131076 GYE131076 HIA131076 HRW131076 IBS131076 ILO131076 IVK131076 JFG131076 JPC131076 JYY131076 KIU131076 KSQ131076 LCM131076 LMI131076 LWE131076 MGA131076 MPW131076 MZS131076 NJO131076 NTK131076 ODG131076 ONC131076 OWY131076 PGU131076 PQQ131076 QAM131076 QKI131076 QUE131076 REA131076 RNW131076 RXS131076 SHO131076 SRK131076 TBG131076 TLC131076 TUY131076 UEU131076 UOQ131076 UYM131076 VII131076 VSE131076 WCA131076 WLW131076 WVS131076 J196612 JG196612 TC196612 ACY196612 AMU196612 AWQ196612 BGM196612 BQI196612 CAE196612 CKA196612 CTW196612 DDS196612 DNO196612 DXK196612 EHG196612 ERC196612 FAY196612 FKU196612 FUQ196612 GEM196612 GOI196612 GYE196612 HIA196612 HRW196612 IBS196612 ILO196612 IVK196612 JFG196612 JPC196612 JYY196612 KIU196612 KSQ196612 LCM196612 LMI196612 LWE196612 MGA196612 MPW196612 MZS196612 NJO196612 NTK196612 ODG196612 ONC196612 OWY196612 PGU196612 PQQ196612 QAM196612 QKI196612 QUE196612 REA196612 RNW196612 RXS196612 SHO196612 SRK196612 TBG196612 TLC196612 TUY196612 UEU196612 UOQ196612 UYM196612 VII196612 VSE196612 WCA196612 WLW196612 WVS196612 J262148 JG262148 TC262148 ACY262148 AMU262148 AWQ262148 BGM262148 BQI262148 CAE262148 CKA262148 CTW262148 DDS262148 DNO262148 DXK262148 EHG262148 ERC262148 FAY262148 FKU262148 FUQ262148 GEM262148 GOI262148 GYE262148 HIA262148 HRW262148 IBS262148 ILO262148 IVK262148 JFG262148 JPC262148 JYY262148 KIU262148 KSQ262148 LCM262148 LMI262148 LWE262148 MGA262148 MPW262148 MZS262148 NJO262148 NTK262148 ODG262148 ONC262148 OWY262148 PGU262148 PQQ262148 QAM262148 QKI262148 QUE262148 REA262148 RNW262148 RXS262148 SHO262148 SRK262148 TBG262148 TLC262148 TUY262148 UEU262148 UOQ262148 UYM262148 VII262148 VSE262148 WCA262148 WLW262148 WVS262148 J327684 JG327684 TC327684 ACY327684 AMU327684 AWQ327684 BGM327684 BQI327684 CAE327684 CKA327684 CTW327684 DDS327684 DNO327684 DXK327684 EHG327684 ERC327684 FAY327684 FKU327684 FUQ327684 GEM327684 GOI327684 GYE327684 HIA327684 HRW327684 IBS327684 ILO327684 IVK327684 JFG327684 JPC327684 JYY327684 KIU327684 KSQ327684 LCM327684 LMI327684 LWE327684 MGA327684 MPW327684 MZS327684 NJO327684 NTK327684 ODG327684 ONC327684 OWY327684 PGU327684 PQQ327684 QAM327684 QKI327684 QUE327684 REA327684 RNW327684 RXS327684 SHO327684 SRK327684 TBG327684 TLC327684 TUY327684 UEU327684 UOQ327684 UYM327684 VII327684 VSE327684 WCA327684 WLW327684 WVS327684 J393220 JG393220 TC393220 ACY393220 AMU393220 AWQ393220 BGM393220 BQI393220 CAE393220 CKA393220 CTW393220 DDS393220 DNO393220 DXK393220 EHG393220 ERC393220 FAY393220 FKU393220 FUQ393220 GEM393220 GOI393220 GYE393220 HIA393220 HRW393220 IBS393220 ILO393220 IVK393220 JFG393220 JPC393220 JYY393220 KIU393220 KSQ393220 LCM393220 LMI393220 LWE393220 MGA393220 MPW393220 MZS393220 NJO393220 NTK393220 ODG393220 ONC393220 OWY393220 PGU393220 PQQ393220 QAM393220 QKI393220 QUE393220 REA393220 RNW393220 RXS393220 SHO393220 SRK393220 TBG393220 TLC393220 TUY393220 UEU393220 UOQ393220 UYM393220 VII393220 VSE393220 WCA393220 WLW393220 WVS393220 J458756 JG458756 TC458756 ACY458756 AMU458756 AWQ458756 BGM458756 BQI458756 CAE458756 CKA458756 CTW458756 DDS458756 DNO458756 DXK458756 EHG458756 ERC458756 FAY458756 FKU458756 FUQ458756 GEM458756 GOI458756 GYE458756 HIA458756 HRW458756 IBS458756 ILO458756 IVK458756 JFG458756 JPC458756 JYY458756 KIU458756 KSQ458756 LCM458756 LMI458756 LWE458756 MGA458756 MPW458756 MZS458756 NJO458756 NTK458756 ODG458756 ONC458756 OWY458756 PGU458756 PQQ458756 QAM458756 QKI458756 QUE458756 REA458756 RNW458756 RXS458756 SHO458756 SRK458756 TBG458756 TLC458756 TUY458756 UEU458756 UOQ458756 UYM458756 VII458756 VSE458756 WCA458756 WLW458756 WVS458756 J524292 JG524292 TC524292 ACY524292 AMU524292 AWQ524292 BGM524292 BQI524292 CAE524292 CKA524292 CTW524292 DDS524292 DNO524292 DXK524292 EHG524292 ERC524292 FAY524292 FKU524292 FUQ524292 GEM524292 GOI524292 GYE524292 HIA524292 HRW524292 IBS524292 ILO524292 IVK524292 JFG524292 JPC524292 JYY524292 KIU524292 KSQ524292 LCM524292 LMI524292 LWE524292 MGA524292 MPW524292 MZS524292 NJO524292 NTK524292 ODG524292 ONC524292 OWY524292 PGU524292 PQQ524292 QAM524292 QKI524292 QUE524292 REA524292 RNW524292 RXS524292 SHO524292 SRK524292 TBG524292 TLC524292 TUY524292 UEU524292 UOQ524292 UYM524292 VII524292 VSE524292 WCA524292 WLW524292 WVS524292 J589828 JG589828 TC589828 ACY589828 AMU589828 AWQ589828 BGM589828 BQI589828 CAE589828 CKA589828 CTW589828 DDS589828 DNO589828 DXK589828 EHG589828 ERC589828 FAY589828 FKU589828 FUQ589828 GEM589828 GOI589828 GYE589828 HIA589828 HRW589828 IBS589828 ILO589828 IVK589828 JFG589828 JPC589828 JYY589828 KIU589828 KSQ589828 LCM589828 LMI589828 LWE589828 MGA589828 MPW589828 MZS589828 NJO589828 NTK589828 ODG589828 ONC589828 OWY589828 PGU589828 PQQ589828 QAM589828 QKI589828 QUE589828 REA589828 RNW589828 RXS589828 SHO589828 SRK589828 TBG589828 TLC589828 TUY589828 UEU589828 UOQ589828 UYM589828 VII589828 VSE589828 WCA589828 WLW589828 WVS589828 J655364 JG655364 TC655364 ACY655364 AMU655364 AWQ655364 BGM655364 BQI655364 CAE655364 CKA655364 CTW655364 DDS655364 DNO655364 DXK655364 EHG655364 ERC655364 FAY655364 FKU655364 FUQ655364 GEM655364 GOI655364 GYE655364 HIA655364 HRW655364 IBS655364 ILO655364 IVK655364 JFG655364 JPC655364 JYY655364 KIU655364 KSQ655364 LCM655364 LMI655364 LWE655364 MGA655364 MPW655364 MZS655364 NJO655364 NTK655364 ODG655364 ONC655364 OWY655364 PGU655364 PQQ655364 QAM655364 QKI655364 QUE655364 REA655364 RNW655364 RXS655364 SHO655364 SRK655364 TBG655364 TLC655364 TUY655364 UEU655364 UOQ655364 UYM655364 VII655364 VSE655364 WCA655364 WLW655364 WVS655364 J720900 JG720900 TC720900 ACY720900 AMU720900 AWQ720900 BGM720900 BQI720900 CAE720900 CKA720900 CTW720900 DDS720900 DNO720900 DXK720900 EHG720900 ERC720900 FAY720900 FKU720900 FUQ720900 GEM720900 GOI720900 GYE720900 HIA720900 HRW720900 IBS720900 ILO720900 IVK720900 JFG720900 JPC720900 JYY720900 KIU720900 KSQ720900 LCM720900 LMI720900 LWE720900 MGA720900 MPW720900 MZS720900 NJO720900 NTK720900 ODG720900 ONC720900 OWY720900 PGU720900 PQQ720900 QAM720900 QKI720900 QUE720900 REA720900 RNW720900 RXS720900 SHO720900 SRK720900 TBG720900 TLC720900 TUY720900 UEU720900 UOQ720900 UYM720900 VII720900 VSE720900 WCA720900 WLW720900 WVS720900 J786436 JG786436 TC786436 ACY786436 AMU786436 AWQ786436 BGM786436 BQI786436 CAE786436 CKA786436 CTW786436 DDS786436 DNO786436 DXK786436 EHG786436 ERC786436 FAY786436 FKU786436 FUQ786436 GEM786436 GOI786436 GYE786436 HIA786436 HRW786436 IBS786436 ILO786436 IVK786436 JFG786436 JPC786436 JYY786436 KIU786436 KSQ786436 LCM786436 LMI786436 LWE786436 MGA786436 MPW786436 MZS786436 NJO786436 NTK786436 ODG786436 ONC786436 OWY786436 PGU786436 PQQ786436 QAM786436 QKI786436 QUE786436 REA786436 RNW786436 RXS786436 SHO786436 SRK786436 TBG786436 TLC786436 TUY786436 UEU786436 UOQ786436 UYM786436 VII786436 VSE786436 WCA786436 WLW786436 WVS786436 J851972 JG851972 TC851972 ACY851972 AMU851972 AWQ851972 BGM851972 BQI851972 CAE851972 CKA851972 CTW851972 DDS851972 DNO851972 DXK851972 EHG851972 ERC851972 FAY851972 FKU851972 FUQ851972 GEM851972 GOI851972 GYE851972 HIA851972 HRW851972 IBS851972 ILO851972 IVK851972 JFG851972 JPC851972 JYY851972 KIU851972 KSQ851972 LCM851972 LMI851972 LWE851972 MGA851972 MPW851972 MZS851972 NJO851972 NTK851972 ODG851972 ONC851972 OWY851972 PGU851972 PQQ851972 QAM851972 QKI851972 QUE851972 REA851972 RNW851972 RXS851972 SHO851972 SRK851972 TBG851972 TLC851972 TUY851972 UEU851972 UOQ851972 UYM851972 VII851972 VSE851972 WCA851972 WLW851972 WVS851972 J917508 JG917508 TC917508 ACY917508 AMU917508 AWQ917508 BGM917508 BQI917508 CAE917508 CKA917508 CTW917508 DDS917508 DNO917508 DXK917508 EHG917508 ERC917508 FAY917508 FKU917508 FUQ917508 GEM917508 GOI917508 GYE917508 HIA917508 HRW917508 IBS917508 ILO917508 IVK917508 JFG917508 JPC917508 JYY917508 KIU917508 KSQ917508 LCM917508 LMI917508 LWE917508 MGA917508 MPW917508 MZS917508 NJO917508 NTK917508 ODG917508 ONC917508 OWY917508 PGU917508 PQQ917508 QAM917508 QKI917508 QUE917508 REA917508 RNW917508 RXS917508 SHO917508 SRK917508 TBG917508 TLC917508 TUY917508 UEU917508 UOQ917508 UYM917508 VII917508 VSE917508 WCA917508 WLW917508 WVS917508 J983044 JG983044 TC983044 ACY983044 AMU983044 AWQ983044 BGM983044 BQI983044 CAE983044 CKA983044 CTW983044 DDS983044 DNO983044 DXK983044 EHG983044 ERC983044 FAY983044 FKU983044 FUQ983044 GEM983044 GOI983044 GYE983044 HIA983044 HRW983044 IBS983044 ILO983044 IVK983044 JFG983044 JPC983044 JYY983044 KIU983044 KSQ983044 LCM983044 LMI983044 LWE983044 MGA983044 MPW983044 MZS983044 NJO983044 NTK983044 ODG983044 ONC983044 OWY983044 PGU983044 PQQ983044 QAM983044 QKI983044 QUE983044 REA983044 RNW983044 RXS983044 SHO983044 SRK983044 TBG983044 TLC983044 TUY983044 UEU983044 UOQ983044 UYM983044 VII983044 VSE983044 WCA983044 WLW983044 WVS983044">
      <formula1>"CKMOI01,CKMOI02,CKMOI03,CKCD01,CKCD02,CKCD03,CKGH01,CKGH02,CKGH03"</formula1>
    </dataValidation>
    <dataValidation type="list" allowBlank="1" showInputMessage="1" showErrorMessage="1" sqref="WVS983054:WVS983059 JG14:JG19 J65550:J65555 JG65550:JG65555 TC65550:TC65555 ACY65550:ACY65555 AMU65550:AMU65555 AWQ65550:AWQ65555 BGM65550:BGM65555 BQI65550:BQI65555 CAE65550:CAE65555 CKA65550:CKA65555 CTW65550:CTW65555 DDS65550:DDS65555 DNO65550:DNO65555 DXK65550:DXK65555 EHG65550:EHG65555 ERC65550:ERC65555 FAY65550:FAY65555 FKU65550:FKU65555 FUQ65550:FUQ65555 GEM65550:GEM65555 GOI65550:GOI65555 GYE65550:GYE65555 HIA65550:HIA65555 HRW65550:HRW65555 IBS65550:IBS65555 ILO65550:ILO65555 IVK65550:IVK65555 JFG65550:JFG65555 JPC65550:JPC65555 JYY65550:JYY65555 KIU65550:KIU65555 KSQ65550:KSQ65555 LCM65550:LCM65555 LMI65550:LMI65555 LWE65550:LWE65555 MGA65550:MGA65555 MPW65550:MPW65555 MZS65550:MZS65555 NJO65550:NJO65555 NTK65550:NTK65555 ODG65550:ODG65555 ONC65550:ONC65555 OWY65550:OWY65555 PGU65550:PGU65555 PQQ65550:PQQ65555 QAM65550:QAM65555 QKI65550:QKI65555 QUE65550:QUE65555 REA65550:REA65555 RNW65550:RNW65555 RXS65550:RXS65555 SHO65550:SHO65555 SRK65550:SRK65555 TBG65550:TBG65555 TLC65550:TLC65555 TUY65550:TUY65555 UEU65550:UEU65555 UOQ65550:UOQ65555 UYM65550:UYM65555 VII65550:VII65555 VSE65550:VSE65555 WCA65550:WCA65555 WLW65550:WLW65555 WVS65550:WVS65555 J131086:J131091 JG131086:JG131091 TC131086:TC131091 ACY131086:ACY131091 AMU131086:AMU131091 AWQ131086:AWQ131091 BGM131086:BGM131091 BQI131086:BQI131091 CAE131086:CAE131091 CKA131086:CKA131091 CTW131086:CTW131091 DDS131086:DDS131091 DNO131086:DNO131091 DXK131086:DXK131091 EHG131086:EHG131091 ERC131086:ERC131091 FAY131086:FAY131091 FKU131086:FKU131091 FUQ131086:FUQ131091 GEM131086:GEM131091 GOI131086:GOI131091 GYE131086:GYE131091 HIA131086:HIA131091 HRW131086:HRW131091 IBS131086:IBS131091 ILO131086:ILO131091 IVK131086:IVK131091 JFG131086:JFG131091 JPC131086:JPC131091 JYY131086:JYY131091 KIU131086:KIU131091 KSQ131086:KSQ131091 LCM131086:LCM131091 LMI131086:LMI131091 LWE131086:LWE131091 MGA131086:MGA131091 MPW131086:MPW131091 MZS131086:MZS131091 NJO131086:NJO131091 NTK131086:NTK131091 ODG131086:ODG131091 ONC131086:ONC131091 OWY131086:OWY131091 PGU131086:PGU131091 PQQ131086:PQQ131091 QAM131086:QAM131091 QKI131086:QKI131091 QUE131086:QUE131091 REA131086:REA131091 RNW131086:RNW131091 RXS131086:RXS131091 SHO131086:SHO131091 SRK131086:SRK131091 TBG131086:TBG131091 TLC131086:TLC131091 TUY131086:TUY131091 UEU131086:UEU131091 UOQ131086:UOQ131091 UYM131086:UYM131091 VII131086:VII131091 VSE131086:VSE131091 WCA131086:WCA131091 WLW131086:WLW131091 WVS131086:WVS131091 J196622:J196627 JG196622:JG196627 TC196622:TC196627 ACY196622:ACY196627 AMU196622:AMU196627 AWQ196622:AWQ196627 BGM196622:BGM196627 BQI196622:BQI196627 CAE196622:CAE196627 CKA196622:CKA196627 CTW196622:CTW196627 DDS196622:DDS196627 DNO196622:DNO196627 DXK196622:DXK196627 EHG196622:EHG196627 ERC196622:ERC196627 FAY196622:FAY196627 FKU196622:FKU196627 FUQ196622:FUQ196627 GEM196622:GEM196627 GOI196622:GOI196627 GYE196622:GYE196627 HIA196622:HIA196627 HRW196622:HRW196627 IBS196622:IBS196627 ILO196622:ILO196627 IVK196622:IVK196627 JFG196622:JFG196627 JPC196622:JPC196627 JYY196622:JYY196627 KIU196622:KIU196627 KSQ196622:KSQ196627 LCM196622:LCM196627 LMI196622:LMI196627 LWE196622:LWE196627 MGA196622:MGA196627 MPW196622:MPW196627 MZS196622:MZS196627 NJO196622:NJO196627 NTK196622:NTK196627 ODG196622:ODG196627 ONC196622:ONC196627 OWY196622:OWY196627 PGU196622:PGU196627 PQQ196622:PQQ196627 QAM196622:QAM196627 QKI196622:QKI196627 QUE196622:QUE196627 REA196622:REA196627 RNW196622:RNW196627 RXS196622:RXS196627 SHO196622:SHO196627 SRK196622:SRK196627 TBG196622:TBG196627 TLC196622:TLC196627 TUY196622:TUY196627 UEU196622:UEU196627 UOQ196622:UOQ196627 UYM196622:UYM196627 VII196622:VII196627 VSE196622:VSE196627 WCA196622:WCA196627 WLW196622:WLW196627 WVS196622:WVS196627 J262158:J262163 JG262158:JG262163 TC262158:TC262163 ACY262158:ACY262163 AMU262158:AMU262163 AWQ262158:AWQ262163 BGM262158:BGM262163 BQI262158:BQI262163 CAE262158:CAE262163 CKA262158:CKA262163 CTW262158:CTW262163 DDS262158:DDS262163 DNO262158:DNO262163 DXK262158:DXK262163 EHG262158:EHG262163 ERC262158:ERC262163 FAY262158:FAY262163 FKU262158:FKU262163 FUQ262158:FUQ262163 GEM262158:GEM262163 GOI262158:GOI262163 GYE262158:GYE262163 HIA262158:HIA262163 HRW262158:HRW262163 IBS262158:IBS262163 ILO262158:ILO262163 IVK262158:IVK262163 JFG262158:JFG262163 JPC262158:JPC262163 JYY262158:JYY262163 KIU262158:KIU262163 KSQ262158:KSQ262163 LCM262158:LCM262163 LMI262158:LMI262163 LWE262158:LWE262163 MGA262158:MGA262163 MPW262158:MPW262163 MZS262158:MZS262163 NJO262158:NJO262163 NTK262158:NTK262163 ODG262158:ODG262163 ONC262158:ONC262163 OWY262158:OWY262163 PGU262158:PGU262163 PQQ262158:PQQ262163 QAM262158:QAM262163 QKI262158:QKI262163 QUE262158:QUE262163 REA262158:REA262163 RNW262158:RNW262163 RXS262158:RXS262163 SHO262158:SHO262163 SRK262158:SRK262163 TBG262158:TBG262163 TLC262158:TLC262163 TUY262158:TUY262163 UEU262158:UEU262163 UOQ262158:UOQ262163 UYM262158:UYM262163 VII262158:VII262163 VSE262158:VSE262163 WCA262158:WCA262163 WLW262158:WLW262163 WVS262158:WVS262163 J327694:J327699 JG327694:JG327699 TC327694:TC327699 ACY327694:ACY327699 AMU327694:AMU327699 AWQ327694:AWQ327699 BGM327694:BGM327699 BQI327694:BQI327699 CAE327694:CAE327699 CKA327694:CKA327699 CTW327694:CTW327699 DDS327694:DDS327699 DNO327694:DNO327699 DXK327694:DXK327699 EHG327694:EHG327699 ERC327694:ERC327699 FAY327694:FAY327699 FKU327694:FKU327699 FUQ327694:FUQ327699 GEM327694:GEM327699 GOI327694:GOI327699 GYE327694:GYE327699 HIA327694:HIA327699 HRW327694:HRW327699 IBS327694:IBS327699 ILO327694:ILO327699 IVK327694:IVK327699 JFG327694:JFG327699 JPC327694:JPC327699 JYY327694:JYY327699 KIU327694:KIU327699 KSQ327694:KSQ327699 LCM327694:LCM327699 LMI327694:LMI327699 LWE327694:LWE327699 MGA327694:MGA327699 MPW327694:MPW327699 MZS327694:MZS327699 NJO327694:NJO327699 NTK327694:NTK327699 ODG327694:ODG327699 ONC327694:ONC327699 OWY327694:OWY327699 PGU327694:PGU327699 PQQ327694:PQQ327699 QAM327694:QAM327699 QKI327694:QKI327699 QUE327694:QUE327699 REA327694:REA327699 RNW327694:RNW327699 RXS327694:RXS327699 SHO327694:SHO327699 SRK327694:SRK327699 TBG327694:TBG327699 TLC327694:TLC327699 TUY327694:TUY327699 UEU327694:UEU327699 UOQ327694:UOQ327699 UYM327694:UYM327699 VII327694:VII327699 VSE327694:VSE327699 WCA327694:WCA327699 WLW327694:WLW327699 WVS327694:WVS327699 J393230:J393235 JG393230:JG393235 TC393230:TC393235 ACY393230:ACY393235 AMU393230:AMU393235 AWQ393230:AWQ393235 BGM393230:BGM393235 BQI393230:BQI393235 CAE393230:CAE393235 CKA393230:CKA393235 CTW393230:CTW393235 DDS393230:DDS393235 DNO393230:DNO393235 DXK393230:DXK393235 EHG393230:EHG393235 ERC393230:ERC393235 FAY393230:FAY393235 FKU393230:FKU393235 FUQ393230:FUQ393235 GEM393230:GEM393235 GOI393230:GOI393235 GYE393230:GYE393235 HIA393230:HIA393235 HRW393230:HRW393235 IBS393230:IBS393235 ILO393230:ILO393235 IVK393230:IVK393235 JFG393230:JFG393235 JPC393230:JPC393235 JYY393230:JYY393235 KIU393230:KIU393235 KSQ393230:KSQ393235 LCM393230:LCM393235 LMI393230:LMI393235 LWE393230:LWE393235 MGA393230:MGA393235 MPW393230:MPW393235 MZS393230:MZS393235 NJO393230:NJO393235 NTK393230:NTK393235 ODG393230:ODG393235 ONC393230:ONC393235 OWY393230:OWY393235 PGU393230:PGU393235 PQQ393230:PQQ393235 QAM393230:QAM393235 QKI393230:QKI393235 QUE393230:QUE393235 REA393230:REA393235 RNW393230:RNW393235 RXS393230:RXS393235 SHO393230:SHO393235 SRK393230:SRK393235 TBG393230:TBG393235 TLC393230:TLC393235 TUY393230:TUY393235 UEU393230:UEU393235 UOQ393230:UOQ393235 UYM393230:UYM393235 VII393230:VII393235 VSE393230:VSE393235 WCA393230:WCA393235 WLW393230:WLW393235 WVS393230:WVS393235 J458766:J458771 JG458766:JG458771 TC458766:TC458771 ACY458766:ACY458771 AMU458766:AMU458771 AWQ458766:AWQ458771 BGM458766:BGM458771 BQI458766:BQI458771 CAE458766:CAE458771 CKA458766:CKA458771 CTW458766:CTW458771 DDS458766:DDS458771 DNO458766:DNO458771 DXK458766:DXK458771 EHG458766:EHG458771 ERC458766:ERC458771 FAY458766:FAY458771 FKU458766:FKU458771 FUQ458766:FUQ458771 GEM458766:GEM458771 GOI458766:GOI458771 GYE458766:GYE458771 HIA458766:HIA458771 HRW458766:HRW458771 IBS458766:IBS458771 ILO458766:ILO458771 IVK458766:IVK458771 JFG458766:JFG458771 JPC458766:JPC458771 JYY458766:JYY458771 KIU458766:KIU458771 KSQ458766:KSQ458771 LCM458766:LCM458771 LMI458766:LMI458771 LWE458766:LWE458771 MGA458766:MGA458771 MPW458766:MPW458771 MZS458766:MZS458771 NJO458766:NJO458771 NTK458766:NTK458771 ODG458766:ODG458771 ONC458766:ONC458771 OWY458766:OWY458771 PGU458766:PGU458771 PQQ458766:PQQ458771 QAM458766:QAM458771 QKI458766:QKI458771 QUE458766:QUE458771 REA458766:REA458771 RNW458766:RNW458771 RXS458766:RXS458771 SHO458766:SHO458771 SRK458766:SRK458771 TBG458766:TBG458771 TLC458766:TLC458771 TUY458766:TUY458771 UEU458766:UEU458771 UOQ458766:UOQ458771 UYM458766:UYM458771 VII458766:VII458771 VSE458766:VSE458771 WCA458766:WCA458771 WLW458766:WLW458771 WVS458766:WVS458771 J524302:J524307 JG524302:JG524307 TC524302:TC524307 ACY524302:ACY524307 AMU524302:AMU524307 AWQ524302:AWQ524307 BGM524302:BGM524307 BQI524302:BQI524307 CAE524302:CAE524307 CKA524302:CKA524307 CTW524302:CTW524307 DDS524302:DDS524307 DNO524302:DNO524307 DXK524302:DXK524307 EHG524302:EHG524307 ERC524302:ERC524307 FAY524302:FAY524307 FKU524302:FKU524307 FUQ524302:FUQ524307 GEM524302:GEM524307 GOI524302:GOI524307 GYE524302:GYE524307 HIA524302:HIA524307 HRW524302:HRW524307 IBS524302:IBS524307 ILO524302:ILO524307 IVK524302:IVK524307 JFG524302:JFG524307 JPC524302:JPC524307 JYY524302:JYY524307 KIU524302:KIU524307 KSQ524302:KSQ524307 LCM524302:LCM524307 LMI524302:LMI524307 LWE524302:LWE524307 MGA524302:MGA524307 MPW524302:MPW524307 MZS524302:MZS524307 NJO524302:NJO524307 NTK524302:NTK524307 ODG524302:ODG524307 ONC524302:ONC524307 OWY524302:OWY524307 PGU524302:PGU524307 PQQ524302:PQQ524307 QAM524302:QAM524307 QKI524302:QKI524307 QUE524302:QUE524307 REA524302:REA524307 RNW524302:RNW524307 RXS524302:RXS524307 SHO524302:SHO524307 SRK524302:SRK524307 TBG524302:TBG524307 TLC524302:TLC524307 TUY524302:TUY524307 UEU524302:UEU524307 UOQ524302:UOQ524307 UYM524302:UYM524307 VII524302:VII524307 VSE524302:VSE524307 WCA524302:WCA524307 WLW524302:WLW524307 WVS524302:WVS524307 J589838:J589843 JG589838:JG589843 TC589838:TC589843 ACY589838:ACY589843 AMU589838:AMU589843 AWQ589838:AWQ589843 BGM589838:BGM589843 BQI589838:BQI589843 CAE589838:CAE589843 CKA589838:CKA589843 CTW589838:CTW589843 DDS589838:DDS589843 DNO589838:DNO589843 DXK589838:DXK589843 EHG589838:EHG589843 ERC589838:ERC589843 FAY589838:FAY589843 FKU589838:FKU589843 FUQ589838:FUQ589843 GEM589838:GEM589843 GOI589838:GOI589843 GYE589838:GYE589843 HIA589838:HIA589843 HRW589838:HRW589843 IBS589838:IBS589843 ILO589838:ILO589843 IVK589838:IVK589843 JFG589838:JFG589843 JPC589838:JPC589843 JYY589838:JYY589843 KIU589838:KIU589843 KSQ589838:KSQ589843 LCM589838:LCM589843 LMI589838:LMI589843 LWE589838:LWE589843 MGA589838:MGA589843 MPW589838:MPW589843 MZS589838:MZS589843 NJO589838:NJO589843 NTK589838:NTK589843 ODG589838:ODG589843 ONC589838:ONC589843 OWY589838:OWY589843 PGU589838:PGU589843 PQQ589838:PQQ589843 QAM589838:QAM589843 QKI589838:QKI589843 QUE589838:QUE589843 REA589838:REA589843 RNW589838:RNW589843 RXS589838:RXS589843 SHO589838:SHO589843 SRK589838:SRK589843 TBG589838:TBG589843 TLC589838:TLC589843 TUY589838:TUY589843 UEU589838:UEU589843 UOQ589838:UOQ589843 UYM589838:UYM589843 VII589838:VII589843 VSE589838:VSE589843 WCA589838:WCA589843 WLW589838:WLW589843 WVS589838:WVS589843 J655374:J655379 JG655374:JG655379 TC655374:TC655379 ACY655374:ACY655379 AMU655374:AMU655379 AWQ655374:AWQ655379 BGM655374:BGM655379 BQI655374:BQI655379 CAE655374:CAE655379 CKA655374:CKA655379 CTW655374:CTW655379 DDS655374:DDS655379 DNO655374:DNO655379 DXK655374:DXK655379 EHG655374:EHG655379 ERC655374:ERC655379 FAY655374:FAY655379 FKU655374:FKU655379 FUQ655374:FUQ655379 GEM655374:GEM655379 GOI655374:GOI655379 GYE655374:GYE655379 HIA655374:HIA655379 HRW655374:HRW655379 IBS655374:IBS655379 ILO655374:ILO655379 IVK655374:IVK655379 JFG655374:JFG655379 JPC655374:JPC655379 JYY655374:JYY655379 KIU655374:KIU655379 KSQ655374:KSQ655379 LCM655374:LCM655379 LMI655374:LMI655379 LWE655374:LWE655379 MGA655374:MGA655379 MPW655374:MPW655379 MZS655374:MZS655379 NJO655374:NJO655379 NTK655374:NTK655379 ODG655374:ODG655379 ONC655374:ONC655379 OWY655374:OWY655379 PGU655374:PGU655379 PQQ655374:PQQ655379 QAM655374:QAM655379 QKI655374:QKI655379 QUE655374:QUE655379 REA655374:REA655379 RNW655374:RNW655379 RXS655374:RXS655379 SHO655374:SHO655379 SRK655374:SRK655379 TBG655374:TBG655379 TLC655374:TLC655379 TUY655374:TUY655379 UEU655374:UEU655379 UOQ655374:UOQ655379 UYM655374:UYM655379 VII655374:VII655379 VSE655374:VSE655379 WCA655374:WCA655379 WLW655374:WLW655379 WVS655374:WVS655379 J720910:J720915 JG720910:JG720915 TC720910:TC720915 ACY720910:ACY720915 AMU720910:AMU720915 AWQ720910:AWQ720915 BGM720910:BGM720915 BQI720910:BQI720915 CAE720910:CAE720915 CKA720910:CKA720915 CTW720910:CTW720915 DDS720910:DDS720915 DNO720910:DNO720915 DXK720910:DXK720915 EHG720910:EHG720915 ERC720910:ERC720915 FAY720910:FAY720915 FKU720910:FKU720915 FUQ720910:FUQ720915 GEM720910:GEM720915 GOI720910:GOI720915 GYE720910:GYE720915 HIA720910:HIA720915 HRW720910:HRW720915 IBS720910:IBS720915 ILO720910:ILO720915 IVK720910:IVK720915 JFG720910:JFG720915 JPC720910:JPC720915 JYY720910:JYY720915 KIU720910:KIU720915 KSQ720910:KSQ720915 LCM720910:LCM720915 LMI720910:LMI720915 LWE720910:LWE720915 MGA720910:MGA720915 MPW720910:MPW720915 MZS720910:MZS720915 NJO720910:NJO720915 NTK720910:NTK720915 ODG720910:ODG720915 ONC720910:ONC720915 OWY720910:OWY720915 PGU720910:PGU720915 PQQ720910:PQQ720915 QAM720910:QAM720915 QKI720910:QKI720915 QUE720910:QUE720915 REA720910:REA720915 RNW720910:RNW720915 RXS720910:RXS720915 SHO720910:SHO720915 SRK720910:SRK720915 TBG720910:TBG720915 TLC720910:TLC720915 TUY720910:TUY720915 UEU720910:UEU720915 UOQ720910:UOQ720915 UYM720910:UYM720915 VII720910:VII720915 VSE720910:VSE720915 WCA720910:WCA720915 WLW720910:WLW720915 WVS720910:WVS720915 J786446:J786451 JG786446:JG786451 TC786446:TC786451 ACY786446:ACY786451 AMU786446:AMU786451 AWQ786446:AWQ786451 BGM786446:BGM786451 BQI786446:BQI786451 CAE786446:CAE786451 CKA786446:CKA786451 CTW786446:CTW786451 DDS786446:DDS786451 DNO786446:DNO786451 DXK786446:DXK786451 EHG786446:EHG786451 ERC786446:ERC786451 FAY786446:FAY786451 FKU786446:FKU786451 FUQ786446:FUQ786451 GEM786446:GEM786451 GOI786446:GOI786451 GYE786446:GYE786451 HIA786446:HIA786451 HRW786446:HRW786451 IBS786446:IBS786451 ILO786446:ILO786451 IVK786446:IVK786451 JFG786446:JFG786451 JPC786446:JPC786451 JYY786446:JYY786451 KIU786446:KIU786451 KSQ786446:KSQ786451 LCM786446:LCM786451 LMI786446:LMI786451 LWE786446:LWE786451 MGA786446:MGA786451 MPW786446:MPW786451 MZS786446:MZS786451 NJO786446:NJO786451 NTK786446:NTK786451 ODG786446:ODG786451 ONC786446:ONC786451 OWY786446:OWY786451 PGU786446:PGU786451 PQQ786446:PQQ786451 QAM786446:QAM786451 QKI786446:QKI786451 QUE786446:QUE786451 REA786446:REA786451 RNW786446:RNW786451 RXS786446:RXS786451 SHO786446:SHO786451 SRK786446:SRK786451 TBG786446:TBG786451 TLC786446:TLC786451 TUY786446:TUY786451 UEU786446:UEU786451 UOQ786446:UOQ786451 UYM786446:UYM786451 VII786446:VII786451 VSE786446:VSE786451 WCA786446:WCA786451 WLW786446:WLW786451 WVS786446:WVS786451 J851982:J851987 JG851982:JG851987 TC851982:TC851987 ACY851982:ACY851987 AMU851982:AMU851987 AWQ851982:AWQ851987 BGM851982:BGM851987 BQI851982:BQI851987 CAE851982:CAE851987 CKA851982:CKA851987 CTW851982:CTW851987 DDS851982:DDS851987 DNO851982:DNO851987 DXK851982:DXK851987 EHG851982:EHG851987 ERC851982:ERC851987 FAY851982:FAY851987 FKU851982:FKU851987 FUQ851982:FUQ851987 GEM851982:GEM851987 GOI851982:GOI851987 GYE851982:GYE851987 HIA851982:HIA851987 HRW851982:HRW851987 IBS851982:IBS851987 ILO851982:ILO851987 IVK851982:IVK851987 JFG851982:JFG851987 JPC851982:JPC851987 JYY851982:JYY851987 KIU851982:KIU851987 KSQ851982:KSQ851987 LCM851982:LCM851987 LMI851982:LMI851987 LWE851982:LWE851987 MGA851982:MGA851987 MPW851982:MPW851987 MZS851982:MZS851987 NJO851982:NJO851987 NTK851982:NTK851987 ODG851982:ODG851987 ONC851982:ONC851987 OWY851982:OWY851987 PGU851982:PGU851987 PQQ851982:PQQ851987 QAM851982:QAM851987 QKI851982:QKI851987 QUE851982:QUE851987 REA851982:REA851987 RNW851982:RNW851987 RXS851982:RXS851987 SHO851982:SHO851987 SRK851982:SRK851987 TBG851982:TBG851987 TLC851982:TLC851987 TUY851982:TUY851987 UEU851982:UEU851987 UOQ851982:UOQ851987 UYM851982:UYM851987 VII851982:VII851987 VSE851982:VSE851987 WCA851982:WCA851987 WLW851982:WLW851987 WVS851982:WVS851987 J917518:J917523 JG917518:JG917523 TC917518:TC917523 ACY917518:ACY917523 AMU917518:AMU917523 AWQ917518:AWQ917523 BGM917518:BGM917523 BQI917518:BQI917523 CAE917518:CAE917523 CKA917518:CKA917523 CTW917518:CTW917523 DDS917518:DDS917523 DNO917518:DNO917523 DXK917518:DXK917523 EHG917518:EHG917523 ERC917518:ERC917523 FAY917518:FAY917523 FKU917518:FKU917523 FUQ917518:FUQ917523 GEM917518:GEM917523 GOI917518:GOI917523 GYE917518:GYE917523 HIA917518:HIA917523 HRW917518:HRW917523 IBS917518:IBS917523 ILO917518:ILO917523 IVK917518:IVK917523 JFG917518:JFG917523 JPC917518:JPC917523 JYY917518:JYY917523 KIU917518:KIU917523 KSQ917518:KSQ917523 LCM917518:LCM917523 LMI917518:LMI917523 LWE917518:LWE917523 MGA917518:MGA917523 MPW917518:MPW917523 MZS917518:MZS917523 NJO917518:NJO917523 NTK917518:NTK917523 ODG917518:ODG917523 ONC917518:ONC917523 OWY917518:OWY917523 PGU917518:PGU917523 PQQ917518:PQQ917523 QAM917518:QAM917523 QKI917518:QKI917523 QUE917518:QUE917523 REA917518:REA917523 RNW917518:RNW917523 RXS917518:RXS917523 SHO917518:SHO917523 SRK917518:SRK917523 TBG917518:TBG917523 TLC917518:TLC917523 TUY917518:TUY917523 UEU917518:UEU917523 UOQ917518:UOQ917523 UYM917518:UYM917523 VII917518:VII917523 VSE917518:VSE917523 WCA917518:WCA917523 WLW917518:WLW917523 WVS917518:WVS917523 J983054:J983059 JG983054:JG983059 TC983054:TC983059 ACY983054:ACY983059 AMU983054:AMU983059 AWQ983054:AWQ983059 BGM983054:BGM983059 BQI983054:BQI983059 CAE983054:CAE983059 CKA983054:CKA983059 CTW983054:CTW983059 DDS983054:DDS983059 DNO983054:DNO983059 DXK983054:DXK983059 EHG983054:EHG983059 ERC983054:ERC983059 FAY983054:FAY983059 FKU983054:FKU983059 FUQ983054:FUQ983059 GEM983054:GEM983059 GOI983054:GOI983059 GYE983054:GYE983059 HIA983054:HIA983059 HRW983054:HRW983059 IBS983054:IBS983059 ILO983054:ILO983059 IVK983054:IVK983059 JFG983054:JFG983059 JPC983054:JPC983059 JYY983054:JYY983059 KIU983054:KIU983059 KSQ983054:KSQ983059 LCM983054:LCM983059 LMI983054:LMI983059 LWE983054:LWE983059 MGA983054:MGA983059 MPW983054:MPW983059 MZS983054:MZS983059 NJO983054:NJO983059 NTK983054:NTK983059 ODG983054:ODG983059 ONC983054:ONC983059 OWY983054:OWY983059 PGU983054:PGU983059 PQQ983054:PQQ983059 QAM983054:QAM983059 QKI983054:QKI983059 QUE983054:QUE983059 REA983054:REA983059 RNW983054:RNW983059 RXS983054:RXS983059 SHO983054:SHO983059 SRK983054:SRK983059 TBG983054:TBG983059 TLC983054:TLC983059 TUY983054:TUY983059 UEU983054:UEU983059 UOQ983054:UOQ983059 UYM983054:UYM983059 VII983054:VII983059 VSE983054:VSE983059 WCA983054:WCA983059 WLW983054:WLW983059 WVS14:WVS19 WLW14:WLW19 WCA14:WCA19 VSE14:VSE19 VII14:VII19 UYM14:UYM19 UOQ14:UOQ19 UEU14:UEU19 TUY14:TUY19 TLC14:TLC19 TBG14:TBG19 SRK14:SRK19 SHO14:SHO19 RXS14:RXS19 RNW14:RNW19 REA14:REA19 QUE14:QUE19 QKI14:QKI19 QAM14:QAM19 PQQ14:PQQ19 PGU14:PGU19 OWY14:OWY19 ONC14:ONC19 ODG14:ODG19 NTK14:NTK19 NJO14:NJO19 MZS14:MZS19 MPW14:MPW19 MGA14:MGA19 LWE14:LWE19 LMI14:LMI19 LCM14:LCM19 KSQ14:KSQ19 KIU14:KIU19 JYY14:JYY19 JPC14:JPC19 JFG14:JFG19 IVK14:IVK19 ILO14:ILO19 IBS14:IBS19 HRW14:HRW19 HIA14:HIA19 GYE14:GYE19 GOI14:GOI19 GEM14:GEM19 FUQ14:FUQ19 FKU14:FKU19 FAY14:FAY19 ERC14:ERC19 EHG14:EHG19 DXK14:DXK19 DNO14:DNO19 DDS14:DDS19 CTW14:CTW19 CKA14:CKA19 CAE14:CAE19 BQI14:BQI19 BGM14:BGM19 AWQ14:AWQ19 AMU14:AMU19 ACY14:ACY19 TC14:TC19">
      <formula1>"NCMOI01,NCMOI02,NCMOI03,NCMOI01-BH,NCMOI02-BH,NCMOI03-BH,NCCD01,NCCD02,NCCD03,NCCD01-BH,NCCD02-BH,NCCD03-BH,NCGH01,NCGH02,NCGH03,NCGH01-BH,NCGH02-BH,NCGH03-BH,NCMTL"</formula1>
    </dataValidation>
    <dataValidation type="list" allowBlank="1" showInputMessage="1" showErrorMessage="1" promptTitle="nhà cung cấp,Uyên Việt,tự xuất" sqref="WVV1:WVV4 JJ14:JJ65540 M65550:M131076 JJ65550:JJ131076 TF65550:TF131076 ADB65550:ADB131076 AMX65550:AMX131076 AWT65550:AWT131076 BGP65550:BGP131076 BQL65550:BQL131076 CAH65550:CAH131076 CKD65550:CKD131076 CTZ65550:CTZ131076 DDV65550:DDV131076 DNR65550:DNR131076 DXN65550:DXN131076 EHJ65550:EHJ131076 ERF65550:ERF131076 FBB65550:FBB131076 FKX65550:FKX131076 FUT65550:FUT131076 GEP65550:GEP131076 GOL65550:GOL131076 GYH65550:GYH131076 HID65550:HID131076 HRZ65550:HRZ131076 IBV65550:IBV131076 ILR65550:ILR131076 IVN65550:IVN131076 JFJ65550:JFJ131076 JPF65550:JPF131076 JZB65550:JZB131076 KIX65550:KIX131076 KST65550:KST131076 LCP65550:LCP131076 LML65550:LML131076 LWH65550:LWH131076 MGD65550:MGD131076 MPZ65550:MPZ131076 MZV65550:MZV131076 NJR65550:NJR131076 NTN65550:NTN131076 ODJ65550:ODJ131076 ONF65550:ONF131076 OXB65550:OXB131076 PGX65550:PGX131076 PQT65550:PQT131076 QAP65550:QAP131076 QKL65550:QKL131076 QUH65550:QUH131076 RED65550:RED131076 RNZ65550:RNZ131076 RXV65550:RXV131076 SHR65550:SHR131076 SRN65550:SRN131076 TBJ65550:TBJ131076 TLF65550:TLF131076 TVB65550:TVB131076 UEX65550:UEX131076 UOT65550:UOT131076 UYP65550:UYP131076 VIL65550:VIL131076 VSH65550:VSH131076 WCD65550:WCD131076 WLZ65550:WLZ131076 WVV65550:WVV131076 M131086:M196612 JJ131086:JJ196612 TF131086:TF196612 ADB131086:ADB196612 AMX131086:AMX196612 AWT131086:AWT196612 BGP131086:BGP196612 BQL131086:BQL196612 CAH131086:CAH196612 CKD131086:CKD196612 CTZ131086:CTZ196612 DDV131086:DDV196612 DNR131086:DNR196612 DXN131086:DXN196612 EHJ131086:EHJ196612 ERF131086:ERF196612 FBB131086:FBB196612 FKX131086:FKX196612 FUT131086:FUT196612 GEP131086:GEP196612 GOL131086:GOL196612 GYH131086:GYH196612 HID131086:HID196612 HRZ131086:HRZ196612 IBV131086:IBV196612 ILR131086:ILR196612 IVN131086:IVN196612 JFJ131086:JFJ196612 JPF131086:JPF196612 JZB131086:JZB196612 KIX131086:KIX196612 KST131086:KST196612 LCP131086:LCP196612 LML131086:LML196612 LWH131086:LWH196612 MGD131086:MGD196612 MPZ131086:MPZ196612 MZV131086:MZV196612 NJR131086:NJR196612 NTN131086:NTN196612 ODJ131086:ODJ196612 ONF131086:ONF196612 OXB131086:OXB196612 PGX131086:PGX196612 PQT131086:PQT196612 QAP131086:QAP196612 QKL131086:QKL196612 QUH131086:QUH196612 RED131086:RED196612 RNZ131086:RNZ196612 RXV131086:RXV196612 SHR131086:SHR196612 SRN131086:SRN196612 TBJ131086:TBJ196612 TLF131086:TLF196612 TVB131086:TVB196612 UEX131086:UEX196612 UOT131086:UOT196612 UYP131086:UYP196612 VIL131086:VIL196612 VSH131086:VSH196612 WCD131086:WCD196612 WLZ131086:WLZ196612 WVV131086:WVV196612 M196622:M262148 JJ196622:JJ262148 TF196622:TF262148 ADB196622:ADB262148 AMX196622:AMX262148 AWT196622:AWT262148 BGP196622:BGP262148 BQL196622:BQL262148 CAH196622:CAH262148 CKD196622:CKD262148 CTZ196622:CTZ262148 DDV196622:DDV262148 DNR196622:DNR262148 DXN196622:DXN262148 EHJ196622:EHJ262148 ERF196622:ERF262148 FBB196622:FBB262148 FKX196622:FKX262148 FUT196622:FUT262148 GEP196622:GEP262148 GOL196622:GOL262148 GYH196622:GYH262148 HID196622:HID262148 HRZ196622:HRZ262148 IBV196622:IBV262148 ILR196622:ILR262148 IVN196622:IVN262148 JFJ196622:JFJ262148 JPF196622:JPF262148 JZB196622:JZB262148 KIX196622:KIX262148 KST196622:KST262148 LCP196622:LCP262148 LML196622:LML262148 LWH196622:LWH262148 MGD196622:MGD262148 MPZ196622:MPZ262148 MZV196622:MZV262148 NJR196622:NJR262148 NTN196622:NTN262148 ODJ196622:ODJ262148 ONF196622:ONF262148 OXB196622:OXB262148 PGX196622:PGX262148 PQT196622:PQT262148 QAP196622:QAP262148 QKL196622:QKL262148 QUH196622:QUH262148 RED196622:RED262148 RNZ196622:RNZ262148 RXV196622:RXV262148 SHR196622:SHR262148 SRN196622:SRN262148 TBJ196622:TBJ262148 TLF196622:TLF262148 TVB196622:TVB262148 UEX196622:UEX262148 UOT196622:UOT262148 UYP196622:UYP262148 VIL196622:VIL262148 VSH196622:VSH262148 WCD196622:WCD262148 WLZ196622:WLZ262148 WVV196622:WVV262148 M262158:M327684 JJ262158:JJ327684 TF262158:TF327684 ADB262158:ADB327684 AMX262158:AMX327684 AWT262158:AWT327684 BGP262158:BGP327684 BQL262158:BQL327684 CAH262158:CAH327684 CKD262158:CKD327684 CTZ262158:CTZ327684 DDV262158:DDV327684 DNR262158:DNR327684 DXN262158:DXN327684 EHJ262158:EHJ327684 ERF262158:ERF327684 FBB262158:FBB327684 FKX262158:FKX327684 FUT262158:FUT327684 GEP262158:GEP327684 GOL262158:GOL327684 GYH262158:GYH327684 HID262158:HID327684 HRZ262158:HRZ327684 IBV262158:IBV327684 ILR262158:ILR327684 IVN262158:IVN327684 JFJ262158:JFJ327684 JPF262158:JPF327684 JZB262158:JZB327684 KIX262158:KIX327684 KST262158:KST327684 LCP262158:LCP327684 LML262158:LML327684 LWH262158:LWH327684 MGD262158:MGD327684 MPZ262158:MPZ327684 MZV262158:MZV327684 NJR262158:NJR327684 NTN262158:NTN327684 ODJ262158:ODJ327684 ONF262158:ONF327684 OXB262158:OXB327684 PGX262158:PGX327684 PQT262158:PQT327684 QAP262158:QAP327684 QKL262158:QKL327684 QUH262158:QUH327684 RED262158:RED327684 RNZ262158:RNZ327684 RXV262158:RXV327684 SHR262158:SHR327684 SRN262158:SRN327684 TBJ262158:TBJ327684 TLF262158:TLF327684 TVB262158:TVB327684 UEX262158:UEX327684 UOT262158:UOT327684 UYP262158:UYP327684 VIL262158:VIL327684 VSH262158:VSH327684 WCD262158:WCD327684 WLZ262158:WLZ327684 WVV262158:WVV327684 M327694:M393220 JJ327694:JJ393220 TF327694:TF393220 ADB327694:ADB393220 AMX327694:AMX393220 AWT327694:AWT393220 BGP327694:BGP393220 BQL327694:BQL393220 CAH327694:CAH393220 CKD327694:CKD393220 CTZ327694:CTZ393220 DDV327694:DDV393220 DNR327694:DNR393220 DXN327694:DXN393220 EHJ327694:EHJ393220 ERF327694:ERF393220 FBB327694:FBB393220 FKX327694:FKX393220 FUT327694:FUT393220 GEP327694:GEP393220 GOL327694:GOL393220 GYH327694:GYH393220 HID327694:HID393220 HRZ327694:HRZ393220 IBV327694:IBV393220 ILR327694:ILR393220 IVN327694:IVN393220 JFJ327694:JFJ393220 JPF327694:JPF393220 JZB327694:JZB393220 KIX327694:KIX393220 KST327694:KST393220 LCP327694:LCP393220 LML327694:LML393220 LWH327694:LWH393220 MGD327694:MGD393220 MPZ327694:MPZ393220 MZV327694:MZV393220 NJR327694:NJR393220 NTN327694:NTN393220 ODJ327694:ODJ393220 ONF327694:ONF393220 OXB327694:OXB393220 PGX327694:PGX393220 PQT327694:PQT393220 QAP327694:QAP393220 QKL327694:QKL393220 QUH327694:QUH393220 RED327694:RED393220 RNZ327694:RNZ393220 RXV327694:RXV393220 SHR327694:SHR393220 SRN327694:SRN393220 TBJ327694:TBJ393220 TLF327694:TLF393220 TVB327694:TVB393220 UEX327694:UEX393220 UOT327694:UOT393220 UYP327694:UYP393220 VIL327694:VIL393220 VSH327694:VSH393220 WCD327694:WCD393220 WLZ327694:WLZ393220 WVV327694:WVV393220 M393230:M458756 JJ393230:JJ458756 TF393230:TF458756 ADB393230:ADB458756 AMX393230:AMX458756 AWT393230:AWT458756 BGP393230:BGP458756 BQL393230:BQL458756 CAH393230:CAH458756 CKD393230:CKD458756 CTZ393230:CTZ458756 DDV393230:DDV458756 DNR393230:DNR458756 DXN393230:DXN458756 EHJ393230:EHJ458756 ERF393230:ERF458756 FBB393230:FBB458756 FKX393230:FKX458756 FUT393230:FUT458756 GEP393230:GEP458756 GOL393230:GOL458756 GYH393230:GYH458756 HID393230:HID458756 HRZ393230:HRZ458756 IBV393230:IBV458756 ILR393230:ILR458756 IVN393230:IVN458756 JFJ393230:JFJ458756 JPF393230:JPF458756 JZB393230:JZB458756 KIX393230:KIX458756 KST393230:KST458756 LCP393230:LCP458756 LML393230:LML458756 LWH393230:LWH458756 MGD393230:MGD458756 MPZ393230:MPZ458756 MZV393230:MZV458756 NJR393230:NJR458756 NTN393230:NTN458756 ODJ393230:ODJ458756 ONF393230:ONF458756 OXB393230:OXB458756 PGX393230:PGX458756 PQT393230:PQT458756 QAP393230:QAP458756 QKL393230:QKL458756 QUH393230:QUH458756 RED393230:RED458756 RNZ393230:RNZ458756 RXV393230:RXV458756 SHR393230:SHR458756 SRN393230:SRN458756 TBJ393230:TBJ458756 TLF393230:TLF458756 TVB393230:TVB458756 UEX393230:UEX458756 UOT393230:UOT458756 UYP393230:UYP458756 VIL393230:VIL458756 VSH393230:VSH458756 WCD393230:WCD458756 WLZ393230:WLZ458756 WVV393230:WVV458756 M458766:M524292 JJ458766:JJ524292 TF458766:TF524292 ADB458766:ADB524292 AMX458766:AMX524292 AWT458766:AWT524292 BGP458766:BGP524292 BQL458766:BQL524292 CAH458766:CAH524292 CKD458766:CKD524292 CTZ458766:CTZ524292 DDV458766:DDV524292 DNR458766:DNR524292 DXN458766:DXN524292 EHJ458766:EHJ524292 ERF458766:ERF524292 FBB458766:FBB524292 FKX458766:FKX524292 FUT458766:FUT524292 GEP458766:GEP524292 GOL458766:GOL524292 GYH458766:GYH524292 HID458766:HID524292 HRZ458766:HRZ524292 IBV458766:IBV524292 ILR458766:ILR524292 IVN458766:IVN524292 JFJ458766:JFJ524292 JPF458766:JPF524292 JZB458766:JZB524292 KIX458766:KIX524292 KST458766:KST524292 LCP458766:LCP524292 LML458766:LML524292 LWH458766:LWH524292 MGD458766:MGD524292 MPZ458766:MPZ524292 MZV458766:MZV524292 NJR458766:NJR524292 NTN458766:NTN524292 ODJ458766:ODJ524292 ONF458766:ONF524292 OXB458766:OXB524292 PGX458766:PGX524292 PQT458766:PQT524292 QAP458766:QAP524292 QKL458766:QKL524292 QUH458766:QUH524292 RED458766:RED524292 RNZ458766:RNZ524292 RXV458766:RXV524292 SHR458766:SHR524292 SRN458766:SRN524292 TBJ458766:TBJ524292 TLF458766:TLF524292 TVB458766:TVB524292 UEX458766:UEX524292 UOT458766:UOT524292 UYP458766:UYP524292 VIL458766:VIL524292 VSH458766:VSH524292 WCD458766:WCD524292 WLZ458766:WLZ524292 WVV458766:WVV524292 M524302:M589828 JJ524302:JJ589828 TF524302:TF589828 ADB524302:ADB589828 AMX524302:AMX589828 AWT524302:AWT589828 BGP524302:BGP589828 BQL524302:BQL589828 CAH524302:CAH589828 CKD524302:CKD589828 CTZ524302:CTZ589828 DDV524302:DDV589828 DNR524302:DNR589828 DXN524302:DXN589828 EHJ524302:EHJ589828 ERF524302:ERF589828 FBB524302:FBB589828 FKX524302:FKX589828 FUT524302:FUT589828 GEP524302:GEP589828 GOL524302:GOL589828 GYH524302:GYH589828 HID524302:HID589828 HRZ524302:HRZ589828 IBV524302:IBV589828 ILR524302:ILR589828 IVN524302:IVN589828 JFJ524302:JFJ589828 JPF524302:JPF589828 JZB524302:JZB589828 KIX524302:KIX589828 KST524302:KST589828 LCP524302:LCP589828 LML524302:LML589828 LWH524302:LWH589828 MGD524302:MGD589828 MPZ524302:MPZ589828 MZV524302:MZV589828 NJR524302:NJR589828 NTN524302:NTN589828 ODJ524302:ODJ589828 ONF524302:ONF589828 OXB524302:OXB589828 PGX524302:PGX589828 PQT524302:PQT589828 QAP524302:QAP589828 QKL524302:QKL589828 QUH524302:QUH589828 RED524302:RED589828 RNZ524302:RNZ589828 RXV524302:RXV589828 SHR524302:SHR589828 SRN524302:SRN589828 TBJ524302:TBJ589828 TLF524302:TLF589828 TVB524302:TVB589828 UEX524302:UEX589828 UOT524302:UOT589828 UYP524302:UYP589828 VIL524302:VIL589828 VSH524302:VSH589828 WCD524302:WCD589828 WLZ524302:WLZ589828 WVV524302:WVV589828 M589838:M655364 JJ589838:JJ655364 TF589838:TF655364 ADB589838:ADB655364 AMX589838:AMX655364 AWT589838:AWT655364 BGP589838:BGP655364 BQL589838:BQL655364 CAH589838:CAH655364 CKD589838:CKD655364 CTZ589838:CTZ655364 DDV589838:DDV655364 DNR589838:DNR655364 DXN589838:DXN655364 EHJ589838:EHJ655364 ERF589838:ERF655364 FBB589838:FBB655364 FKX589838:FKX655364 FUT589838:FUT655364 GEP589838:GEP655364 GOL589838:GOL655364 GYH589838:GYH655364 HID589838:HID655364 HRZ589838:HRZ655364 IBV589838:IBV655364 ILR589838:ILR655364 IVN589838:IVN655364 JFJ589838:JFJ655364 JPF589838:JPF655364 JZB589838:JZB655364 KIX589838:KIX655364 KST589838:KST655364 LCP589838:LCP655364 LML589838:LML655364 LWH589838:LWH655364 MGD589838:MGD655364 MPZ589838:MPZ655364 MZV589838:MZV655364 NJR589838:NJR655364 NTN589838:NTN655364 ODJ589838:ODJ655364 ONF589838:ONF655364 OXB589838:OXB655364 PGX589838:PGX655364 PQT589838:PQT655364 QAP589838:QAP655364 QKL589838:QKL655364 QUH589838:QUH655364 RED589838:RED655364 RNZ589838:RNZ655364 RXV589838:RXV655364 SHR589838:SHR655364 SRN589838:SRN655364 TBJ589838:TBJ655364 TLF589838:TLF655364 TVB589838:TVB655364 UEX589838:UEX655364 UOT589838:UOT655364 UYP589838:UYP655364 VIL589838:VIL655364 VSH589838:VSH655364 WCD589838:WCD655364 WLZ589838:WLZ655364 WVV589838:WVV655364 M655374:M720900 JJ655374:JJ720900 TF655374:TF720900 ADB655374:ADB720900 AMX655374:AMX720900 AWT655374:AWT720900 BGP655374:BGP720900 BQL655374:BQL720900 CAH655374:CAH720900 CKD655374:CKD720900 CTZ655374:CTZ720900 DDV655374:DDV720900 DNR655374:DNR720900 DXN655374:DXN720900 EHJ655374:EHJ720900 ERF655374:ERF720900 FBB655374:FBB720900 FKX655374:FKX720900 FUT655374:FUT720900 GEP655374:GEP720900 GOL655374:GOL720900 GYH655374:GYH720900 HID655374:HID720900 HRZ655374:HRZ720900 IBV655374:IBV720900 ILR655374:ILR720900 IVN655374:IVN720900 JFJ655374:JFJ720900 JPF655374:JPF720900 JZB655374:JZB720900 KIX655374:KIX720900 KST655374:KST720900 LCP655374:LCP720900 LML655374:LML720900 LWH655374:LWH720900 MGD655374:MGD720900 MPZ655374:MPZ720900 MZV655374:MZV720900 NJR655374:NJR720900 NTN655374:NTN720900 ODJ655374:ODJ720900 ONF655374:ONF720900 OXB655374:OXB720900 PGX655374:PGX720900 PQT655374:PQT720900 QAP655374:QAP720900 QKL655374:QKL720900 QUH655374:QUH720900 RED655374:RED720900 RNZ655374:RNZ720900 RXV655374:RXV720900 SHR655374:SHR720900 SRN655374:SRN720900 TBJ655374:TBJ720900 TLF655374:TLF720900 TVB655374:TVB720900 UEX655374:UEX720900 UOT655374:UOT720900 UYP655374:UYP720900 VIL655374:VIL720900 VSH655374:VSH720900 WCD655374:WCD720900 WLZ655374:WLZ720900 WVV655374:WVV720900 M720910:M786436 JJ720910:JJ786436 TF720910:TF786436 ADB720910:ADB786436 AMX720910:AMX786436 AWT720910:AWT786436 BGP720910:BGP786436 BQL720910:BQL786436 CAH720910:CAH786436 CKD720910:CKD786436 CTZ720910:CTZ786436 DDV720910:DDV786436 DNR720910:DNR786436 DXN720910:DXN786436 EHJ720910:EHJ786436 ERF720910:ERF786436 FBB720910:FBB786436 FKX720910:FKX786436 FUT720910:FUT786436 GEP720910:GEP786436 GOL720910:GOL786436 GYH720910:GYH786436 HID720910:HID786436 HRZ720910:HRZ786436 IBV720910:IBV786436 ILR720910:ILR786436 IVN720910:IVN786436 JFJ720910:JFJ786436 JPF720910:JPF786436 JZB720910:JZB786436 KIX720910:KIX786436 KST720910:KST786436 LCP720910:LCP786436 LML720910:LML786436 LWH720910:LWH786436 MGD720910:MGD786436 MPZ720910:MPZ786436 MZV720910:MZV786436 NJR720910:NJR786436 NTN720910:NTN786436 ODJ720910:ODJ786436 ONF720910:ONF786436 OXB720910:OXB786436 PGX720910:PGX786436 PQT720910:PQT786436 QAP720910:QAP786436 QKL720910:QKL786436 QUH720910:QUH786436 RED720910:RED786436 RNZ720910:RNZ786436 RXV720910:RXV786436 SHR720910:SHR786436 SRN720910:SRN786436 TBJ720910:TBJ786436 TLF720910:TLF786436 TVB720910:TVB786436 UEX720910:UEX786436 UOT720910:UOT786436 UYP720910:UYP786436 VIL720910:VIL786436 VSH720910:VSH786436 WCD720910:WCD786436 WLZ720910:WLZ786436 WVV720910:WVV786436 M786446:M851972 JJ786446:JJ851972 TF786446:TF851972 ADB786446:ADB851972 AMX786446:AMX851972 AWT786446:AWT851972 BGP786446:BGP851972 BQL786446:BQL851972 CAH786446:CAH851972 CKD786446:CKD851972 CTZ786446:CTZ851972 DDV786446:DDV851972 DNR786446:DNR851972 DXN786446:DXN851972 EHJ786446:EHJ851972 ERF786446:ERF851972 FBB786446:FBB851972 FKX786446:FKX851972 FUT786446:FUT851972 GEP786446:GEP851972 GOL786446:GOL851972 GYH786446:GYH851972 HID786446:HID851972 HRZ786446:HRZ851972 IBV786446:IBV851972 ILR786446:ILR851972 IVN786446:IVN851972 JFJ786446:JFJ851972 JPF786446:JPF851972 JZB786446:JZB851972 KIX786446:KIX851972 KST786446:KST851972 LCP786446:LCP851972 LML786446:LML851972 LWH786446:LWH851972 MGD786446:MGD851972 MPZ786446:MPZ851972 MZV786446:MZV851972 NJR786446:NJR851972 NTN786446:NTN851972 ODJ786446:ODJ851972 ONF786446:ONF851972 OXB786446:OXB851972 PGX786446:PGX851972 PQT786446:PQT851972 QAP786446:QAP851972 QKL786446:QKL851972 QUH786446:QUH851972 RED786446:RED851972 RNZ786446:RNZ851972 RXV786446:RXV851972 SHR786446:SHR851972 SRN786446:SRN851972 TBJ786446:TBJ851972 TLF786446:TLF851972 TVB786446:TVB851972 UEX786446:UEX851972 UOT786446:UOT851972 UYP786446:UYP851972 VIL786446:VIL851972 VSH786446:VSH851972 WCD786446:WCD851972 WLZ786446:WLZ851972 WVV786446:WVV851972 M851982:M917508 JJ851982:JJ917508 TF851982:TF917508 ADB851982:ADB917508 AMX851982:AMX917508 AWT851982:AWT917508 BGP851982:BGP917508 BQL851982:BQL917508 CAH851982:CAH917508 CKD851982:CKD917508 CTZ851982:CTZ917508 DDV851982:DDV917508 DNR851982:DNR917508 DXN851982:DXN917508 EHJ851982:EHJ917508 ERF851982:ERF917508 FBB851982:FBB917508 FKX851982:FKX917508 FUT851982:FUT917508 GEP851982:GEP917508 GOL851982:GOL917508 GYH851982:GYH917508 HID851982:HID917508 HRZ851982:HRZ917508 IBV851982:IBV917508 ILR851982:ILR917508 IVN851982:IVN917508 JFJ851982:JFJ917508 JPF851982:JPF917508 JZB851982:JZB917508 KIX851982:KIX917508 KST851982:KST917508 LCP851982:LCP917508 LML851982:LML917508 LWH851982:LWH917508 MGD851982:MGD917508 MPZ851982:MPZ917508 MZV851982:MZV917508 NJR851982:NJR917508 NTN851982:NTN917508 ODJ851982:ODJ917508 ONF851982:ONF917508 OXB851982:OXB917508 PGX851982:PGX917508 PQT851982:PQT917508 QAP851982:QAP917508 QKL851982:QKL917508 QUH851982:QUH917508 RED851982:RED917508 RNZ851982:RNZ917508 RXV851982:RXV917508 SHR851982:SHR917508 SRN851982:SRN917508 TBJ851982:TBJ917508 TLF851982:TLF917508 TVB851982:TVB917508 UEX851982:UEX917508 UOT851982:UOT917508 UYP851982:UYP917508 VIL851982:VIL917508 VSH851982:VSH917508 WCD851982:WCD917508 WLZ851982:WLZ917508 WVV851982:WVV917508 M917518:M983044 JJ917518:JJ983044 TF917518:TF983044 ADB917518:ADB983044 AMX917518:AMX983044 AWT917518:AWT983044 BGP917518:BGP983044 BQL917518:BQL983044 CAH917518:CAH983044 CKD917518:CKD983044 CTZ917518:CTZ983044 DDV917518:DDV983044 DNR917518:DNR983044 DXN917518:DXN983044 EHJ917518:EHJ983044 ERF917518:ERF983044 FBB917518:FBB983044 FKX917518:FKX983044 FUT917518:FUT983044 GEP917518:GEP983044 GOL917518:GOL983044 GYH917518:GYH983044 HID917518:HID983044 HRZ917518:HRZ983044 IBV917518:IBV983044 ILR917518:ILR983044 IVN917518:IVN983044 JFJ917518:JFJ983044 JPF917518:JPF983044 JZB917518:JZB983044 KIX917518:KIX983044 KST917518:KST983044 LCP917518:LCP983044 LML917518:LML983044 LWH917518:LWH983044 MGD917518:MGD983044 MPZ917518:MPZ983044 MZV917518:MZV983044 NJR917518:NJR983044 NTN917518:NTN983044 ODJ917518:ODJ983044 ONF917518:ONF983044 OXB917518:OXB983044 PGX917518:PGX983044 PQT917518:PQT983044 QAP917518:QAP983044 QKL917518:QKL983044 QUH917518:QUH983044 RED917518:RED983044 RNZ917518:RNZ983044 RXV917518:RXV983044 SHR917518:SHR983044 SRN917518:SRN983044 TBJ917518:TBJ983044 TLF917518:TLF983044 TVB917518:TVB983044 UEX917518:UEX983044 UOT917518:UOT983044 UYP917518:UYP983044 VIL917518:VIL983044 VSH917518:VSH983044 WCD917518:WCD983044 WLZ917518:WLZ983044 WVV917518:WVV983044 M983054:M1048576 JJ983054:JJ1048576 TF983054:TF1048576 ADB983054:ADB1048576 AMX983054:AMX1048576 AWT983054:AWT1048576 BGP983054:BGP1048576 BQL983054:BQL1048576 CAH983054:CAH1048576 CKD983054:CKD1048576 CTZ983054:CTZ1048576 DDV983054:DDV1048576 DNR983054:DNR1048576 DXN983054:DXN1048576 EHJ983054:EHJ1048576 ERF983054:ERF1048576 FBB983054:FBB1048576 FKX983054:FKX1048576 FUT983054:FUT1048576 GEP983054:GEP1048576 GOL983054:GOL1048576 GYH983054:GYH1048576 HID983054:HID1048576 HRZ983054:HRZ1048576 IBV983054:IBV1048576 ILR983054:ILR1048576 IVN983054:IVN1048576 JFJ983054:JFJ1048576 JPF983054:JPF1048576 JZB983054:JZB1048576 KIX983054:KIX1048576 KST983054:KST1048576 LCP983054:LCP1048576 LML983054:LML1048576 LWH983054:LWH1048576 MGD983054:MGD1048576 MPZ983054:MPZ1048576 MZV983054:MZV1048576 NJR983054:NJR1048576 NTN983054:NTN1048576 ODJ983054:ODJ1048576 ONF983054:ONF1048576 OXB983054:OXB1048576 PGX983054:PGX1048576 PQT983054:PQT1048576 QAP983054:QAP1048576 QKL983054:QKL1048576 QUH983054:QUH1048576 RED983054:RED1048576 RNZ983054:RNZ1048576 RXV983054:RXV1048576 SHR983054:SHR1048576 SRN983054:SRN1048576 TBJ983054:TBJ1048576 TLF983054:TLF1048576 TVB983054:TVB1048576 UEX983054:UEX1048576 UOT983054:UOT1048576 UYP983054:UYP1048576 VIL983054:VIL1048576 VSH983054:VSH1048576 WCD983054:WCD1048576 WLZ983054:WLZ1048576 WVV983054:WVV1048576 M1:M4 JJ1:JJ4 TF1:TF4 ADB1:ADB4 AMX1:AMX4 AWT1:AWT4 BGP1:BGP4 BQL1:BQL4 CAH1:CAH4 CKD1:CKD4 CTZ1:CTZ4 DDV1:DDV4 DNR1:DNR4 DXN1:DXN4 EHJ1:EHJ4 ERF1:ERF4 FBB1:FBB4 FKX1:FKX4 FUT1:FUT4 GEP1:GEP4 GOL1:GOL4 GYH1:GYH4 HID1:HID4 HRZ1:HRZ4 IBV1:IBV4 ILR1:ILR4 IVN1:IVN4 JFJ1:JFJ4 JPF1:JPF4 JZB1:JZB4 KIX1:KIX4 KST1:KST4 LCP1:LCP4 LML1:LML4 LWH1:LWH4 MGD1:MGD4 MPZ1:MPZ4 MZV1:MZV4 NJR1:NJR4 NTN1:NTN4 ODJ1:ODJ4 ONF1:ONF4 OXB1:OXB4 PGX1:PGX4 PQT1:PQT4 QAP1:QAP4 QKL1:QKL4 QUH1:QUH4 RED1:RED4 RNZ1:RNZ4 RXV1:RXV4 SHR1:SHR4 SRN1:SRN4 TBJ1:TBJ4 TLF1:TLF4 TVB1:TVB4 UEX1:UEX4 UOT1:UOT4 UYP1:UYP4 VIL1:VIL4 VSH1:VSH4 WCD1:WCD4 WLZ1:WLZ4 WVV14:WVV65540 WLZ14:WLZ65540 WCD14:WCD65540 VSH14:VSH65540 VIL14:VIL65540 UYP14:UYP65540 UOT14:UOT65540 UEX14:UEX65540 TVB14:TVB65540 TLF14:TLF65540 TBJ14:TBJ65540 SRN14:SRN65540 SHR14:SHR65540 RXV14:RXV65540 RNZ14:RNZ65540 RED14:RED65540 QUH14:QUH65540 QKL14:QKL65540 QAP14:QAP65540 PQT14:PQT65540 PGX14:PGX65540 OXB14:OXB65540 ONF14:ONF65540 ODJ14:ODJ65540 NTN14:NTN65540 NJR14:NJR65540 MZV14:MZV65540 MPZ14:MPZ65540 MGD14:MGD65540 LWH14:LWH65540 LML14:LML65540 LCP14:LCP65540 KST14:KST65540 KIX14:KIX65540 JZB14:JZB65540 JPF14:JPF65540 JFJ14:JFJ65540 IVN14:IVN65540 ILR14:ILR65540 IBV14:IBV65540 HRZ14:HRZ65540 HID14:HID65540 GYH14:GYH65540 GOL14:GOL65540 GEP14:GEP65540 FUT14:FUT65540 FKX14:FKX65540 FBB14:FBB65540 ERF14:ERF65540 EHJ14:EHJ65540 DXN14:DXN65540 DNR14:DNR65540 DDV14:DDV65540 CTZ14:CTZ65540 CKD14:CKD65540 CAH14:CAH65540 BQL14:BQL65540 BGP14:BGP65540 AWT14:AWT65540 AMX14:AMX65540 ADB14:ADB65540 TF14:TF65540 M67:M65540">
      <formula1>"Nhà cung cấp xuất hộ,Uyên Việt xuất hộ,tự xuất"</formula1>
    </dataValidation>
  </dataValidations>
  <hyperlinks>
    <hyperlink ref="H8" r:id="rId1"/>
    <hyperlink ref="H9" r:id="rId2"/>
    <hyperlink ref="H11" r:id="rId3"/>
    <hyperlink ref="H12" r:id="rId4"/>
    <hyperlink ref="H13" r:id="rId5"/>
    <hyperlink ref="H14" r:id="rId6"/>
    <hyperlink ref="H15" r:id="rId7"/>
    <hyperlink ref="H16" r:id="rId8"/>
    <hyperlink ref="H30" r:id="rId9"/>
    <hyperlink ref="H32" r:id="rId10"/>
    <hyperlink ref="H33" r:id="rId11"/>
    <hyperlink ref="H34" r:id="rId12"/>
  </hyperlinks>
  <pageMargins left="0.7" right="0.7" top="0.75" bottom="0.75" header="0.3" footer="0.3"/>
  <pageSetup orientation="portrait" r:id="rId13"/>
  <drawing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27"/>
  <sheetViews>
    <sheetView tabSelected="1" zoomScaleNormal="100" workbookViewId="0">
      <pane xSplit="3" ySplit="4" topLeftCell="E317" activePane="bottomRight" state="frozen"/>
      <selection pane="topRight" activeCell="D1" sqref="D1"/>
      <selection pane="bottomLeft" activeCell="A5" sqref="A5"/>
      <selection pane="bottomRight" activeCell="I320" sqref="I320"/>
    </sheetView>
  </sheetViews>
  <sheetFormatPr defaultColWidth="9" defaultRowHeight="15.75" x14ac:dyDescent="0.25"/>
  <cols>
    <col min="1" max="1" width="9" style="23"/>
    <col min="2" max="2" width="12.7109375" style="23" customWidth="1"/>
    <col min="3" max="3" width="41.7109375" style="235" customWidth="1"/>
    <col min="4" max="5" width="16.5703125" style="235" customWidth="1"/>
    <col min="6" max="6" width="16.85546875" style="27" customWidth="1"/>
    <col min="7" max="7" width="30.85546875" style="154" customWidth="1"/>
    <col min="8" max="8" width="22.7109375" style="27" customWidth="1"/>
    <col min="9" max="9" width="34.140625" style="23" customWidth="1"/>
    <col min="10" max="10" width="23.5703125" style="7" customWidth="1"/>
    <col min="11" max="11" width="11.140625" style="7" customWidth="1"/>
    <col min="12" max="12" width="8" style="23" customWidth="1"/>
    <col min="13" max="13" width="25.7109375" style="212" customWidth="1"/>
    <col min="14" max="14" width="14" style="217" customWidth="1"/>
    <col min="15" max="15" width="42.5703125" style="23" hidden="1" customWidth="1"/>
    <col min="16" max="16" width="16.28515625" style="23" customWidth="1"/>
    <col min="17" max="17" width="11.42578125" style="23" hidden="1" customWidth="1"/>
    <col min="18" max="18" width="5.5703125" style="23" customWidth="1"/>
    <col min="19" max="19" width="13.7109375" style="212" customWidth="1"/>
    <col min="20" max="20" width="11.28515625" style="591" customWidth="1"/>
    <col min="21" max="21" width="15.42578125" style="217" customWidth="1"/>
    <col min="22" max="22" width="14.7109375" style="217" customWidth="1"/>
    <col min="23" max="23" width="16.28515625" style="23" customWidth="1"/>
    <col min="24" max="26" width="11.5703125" style="23" bestFit="1" customWidth="1"/>
    <col min="27" max="260" width="9" style="23"/>
    <col min="261" max="261" width="15.28515625" style="23" customWidth="1"/>
    <col min="262" max="262" width="83.140625" style="23" bestFit="1" customWidth="1"/>
    <col min="263" max="263" width="22" style="23" customWidth="1"/>
    <col min="264" max="264" width="102.140625" style="23" bestFit="1" customWidth="1"/>
    <col min="265" max="265" width="17.28515625" style="23" customWidth="1"/>
    <col min="266" max="266" width="29.85546875" style="23" bestFit="1" customWidth="1"/>
    <col min="267" max="267" width="31.140625" style="23" customWidth="1"/>
    <col min="268" max="268" width="21.85546875" style="23" customWidth="1"/>
    <col min="269" max="269" width="14.140625" style="23" customWidth="1"/>
    <col min="270" max="270" width="25.7109375" style="23" customWidth="1"/>
    <col min="271" max="271" width="26.7109375" style="23" customWidth="1"/>
    <col min="272" max="272" width="58.42578125" style="23" bestFit="1" customWidth="1"/>
    <col min="273" max="273" width="12.42578125" style="23" customWidth="1"/>
    <col min="274" max="274" width="19.28515625" style="23" customWidth="1"/>
    <col min="275" max="275" width="16.5703125" style="23" customWidth="1"/>
    <col min="276" max="276" width="29" style="23" customWidth="1"/>
    <col min="277" max="516" width="9" style="23"/>
    <col min="517" max="517" width="15.28515625" style="23" customWidth="1"/>
    <col min="518" max="518" width="83.140625" style="23" bestFit="1" customWidth="1"/>
    <col min="519" max="519" width="22" style="23" customWidth="1"/>
    <col min="520" max="520" width="102.140625" style="23" bestFit="1" customWidth="1"/>
    <col min="521" max="521" width="17.28515625" style="23" customWidth="1"/>
    <col min="522" max="522" width="29.85546875" style="23" bestFit="1" customWidth="1"/>
    <col min="523" max="523" width="31.140625" style="23" customWidth="1"/>
    <col min="524" max="524" width="21.85546875" style="23" customWidth="1"/>
    <col min="525" max="525" width="14.140625" style="23" customWidth="1"/>
    <col min="526" max="526" width="25.7109375" style="23" customWidth="1"/>
    <col min="527" max="527" width="26.7109375" style="23" customWidth="1"/>
    <col min="528" max="528" width="58.42578125" style="23" bestFit="1" customWidth="1"/>
    <col min="529" max="529" width="12.42578125" style="23" customWidth="1"/>
    <col min="530" max="530" width="19.28515625" style="23" customWidth="1"/>
    <col min="531" max="531" width="16.5703125" style="23" customWidth="1"/>
    <col min="532" max="532" width="29" style="23" customWidth="1"/>
    <col min="533" max="772" width="9" style="23"/>
    <col min="773" max="773" width="15.28515625" style="23" customWidth="1"/>
    <col min="774" max="774" width="83.140625" style="23" bestFit="1" customWidth="1"/>
    <col min="775" max="775" width="22" style="23" customWidth="1"/>
    <col min="776" max="776" width="102.140625" style="23" bestFit="1" customWidth="1"/>
    <col min="777" max="777" width="17.28515625" style="23" customWidth="1"/>
    <col min="778" max="778" width="29.85546875" style="23" bestFit="1" customWidth="1"/>
    <col min="779" max="779" width="31.140625" style="23" customWidth="1"/>
    <col min="780" max="780" width="21.85546875" style="23" customWidth="1"/>
    <col min="781" max="781" width="14.140625" style="23" customWidth="1"/>
    <col min="782" max="782" width="25.7109375" style="23" customWidth="1"/>
    <col min="783" max="783" width="26.7109375" style="23" customWidth="1"/>
    <col min="784" max="784" width="58.42578125" style="23" bestFit="1" customWidth="1"/>
    <col min="785" max="785" width="12.42578125" style="23" customWidth="1"/>
    <col min="786" max="786" width="19.28515625" style="23" customWidth="1"/>
    <col min="787" max="787" width="16.5703125" style="23" customWidth="1"/>
    <col min="788" max="788" width="29" style="23" customWidth="1"/>
    <col min="789" max="1028" width="9" style="23"/>
    <col min="1029" max="1029" width="15.28515625" style="23" customWidth="1"/>
    <col min="1030" max="1030" width="83.140625" style="23" bestFit="1" customWidth="1"/>
    <col min="1031" max="1031" width="22" style="23" customWidth="1"/>
    <col min="1032" max="1032" width="102.140625" style="23" bestFit="1" customWidth="1"/>
    <col min="1033" max="1033" width="17.28515625" style="23" customWidth="1"/>
    <col min="1034" max="1034" width="29.85546875" style="23" bestFit="1" customWidth="1"/>
    <col min="1035" max="1035" width="31.140625" style="23" customWidth="1"/>
    <col min="1036" max="1036" width="21.85546875" style="23" customWidth="1"/>
    <col min="1037" max="1037" width="14.140625" style="23" customWidth="1"/>
    <col min="1038" max="1038" width="25.7109375" style="23" customWidth="1"/>
    <col min="1039" max="1039" width="26.7109375" style="23" customWidth="1"/>
    <col min="1040" max="1040" width="58.42578125" style="23" bestFit="1" customWidth="1"/>
    <col min="1041" max="1041" width="12.42578125" style="23" customWidth="1"/>
    <col min="1042" max="1042" width="19.28515625" style="23" customWidth="1"/>
    <col min="1043" max="1043" width="16.5703125" style="23" customWidth="1"/>
    <col min="1044" max="1044" width="29" style="23" customWidth="1"/>
    <col min="1045" max="1284" width="9" style="23"/>
    <col min="1285" max="1285" width="15.28515625" style="23" customWidth="1"/>
    <col min="1286" max="1286" width="83.140625" style="23" bestFit="1" customWidth="1"/>
    <col min="1287" max="1287" width="22" style="23" customWidth="1"/>
    <col min="1288" max="1288" width="102.140625" style="23" bestFit="1" customWidth="1"/>
    <col min="1289" max="1289" width="17.28515625" style="23" customWidth="1"/>
    <col min="1290" max="1290" width="29.85546875" style="23" bestFit="1" customWidth="1"/>
    <col min="1291" max="1291" width="31.140625" style="23" customWidth="1"/>
    <col min="1292" max="1292" width="21.85546875" style="23" customWidth="1"/>
    <col min="1293" max="1293" width="14.140625" style="23" customWidth="1"/>
    <col min="1294" max="1294" width="25.7109375" style="23" customWidth="1"/>
    <col min="1295" max="1295" width="26.7109375" style="23" customWidth="1"/>
    <col min="1296" max="1296" width="58.42578125" style="23" bestFit="1" customWidth="1"/>
    <col min="1297" max="1297" width="12.42578125" style="23" customWidth="1"/>
    <col min="1298" max="1298" width="19.28515625" style="23" customWidth="1"/>
    <col min="1299" max="1299" width="16.5703125" style="23" customWidth="1"/>
    <col min="1300" max="1300" width="29" style="23" customWidth="1"/>
    <col min="1301" max="1540" width="9" style="23"/>
    <col min="1541" max="1541" width="15.28515625" style="23" customWidth="1"/>
    <col min="1542" max="1542" width="83.140625" style="23" bestFit="1" customWidth="1"/>
    <col min="1543" max="1543" width="22" style="23" customWidth="1"/>
    <col min="1544" max="1544" width="102.140625" style="23" bestFit="1" customWidth="1"/>
    <col min="1545" max="1545" width="17.28515625" style="23" customWidth="1"/>
    <col min="1546" max="1546" width="29.85546875" style="23" bestFit="1" customWidth="1"/>
    <col min="1547" max="1547" width="31.140625" style="23" customWidth="1"/>
    <col min="1548" max="1548" width="21.85546875" style="23" customWidth="1"/>
    <col min="1549" max="1549" width="14.140625" style="23" customWidth="1"/>
    <col min="1550" max="1550" width="25.7109375" style="23" customWidth="1"/>
    <col min="1551" max="1551" width="26.7109375" style="23" customWidth="1"/>
    <col min="1552" max="1552" width="58.42578125" style="23" bestFit="1" customWidth="1"/>
    <col min="1553" max="1553" width="12.42578125" style="23" customWidth="1"/>
    <col min="1554" max="1554" width="19.28515625" style="23" customWidth="1"/>
    <col min="1555" max="1555" width="16.5703125" style="23" customWidth="1"/>
    <col min="1556" max="1556" width="29" style="23" customWidth="1"/>
    <col min="1557" max="1796" width="9" style="23"/>
    <col min="1797" max="1797" width="15.28515625" style="23" customWidth="1"/>
    <col min="1798" max="1798" width="83.140625" style="23" bestFit="1" customWidth="1"/>
    <col min="1799" max="1799" width="22" style="23" customWidth="1"/>
    <col min="1800" max="1800" width="102.140625" style="23" bestFit="1" customWidth="1"/>
    <col min="1801" max="1801" width="17.28515625" style="23" customWidth="1"/>
    <col min="1802" max="1802" width="29.85546875" style="23" bestFit="1" customWidth="1"/>
    <col min="1803" max="1803" width="31.140625" style="23" customWidth="1"/>
    <col min="1804" max="1804" width="21.85546875" style="23" customWidth="1"/>
    <col min="1805" max="1805" width="14.140625" style="23" customWidth="1"/>
    <col min="1806" max="1806" width="25.7109375" style="23" customWidth="1"/>
    <col min="1807" max="1807" width="26.7109375" style="23" customWidth="1"/>
    <col min="1808" max="1808" width="58.42578125" style="23" bestFit="1" customWidth="1"/>
    <col min="1809" max="1809" width="12.42578125" style="23" customWidth="1"/>
    <col min="1810" max="1810" width="19.28515625" style="23" customWidth="1"/>
    <col min="1811" max="1811" width="16.5703125" style="23" customWidth="1"/>
    <col min="1812" max="1812" width="29" style="23" customWidth="1"/>
    <col min="1813" max="2052" width="9" style="23"/>
    <col min="2053" max="2053" width="15.28515625" style="23" customWidth="1"/>
    <col min="2054" max="2054" width="83.140625" style="23" bestFit="1" customWidth="1"/>
    <col min="2055" max="2055" width="22" style="23" customWidth="1"/>
    <col min="2056" max="2056" width="102.140625" style="23" bestFit="1" customWidth="1"/>
    <col min="2057" max="2057" width="17.28515625" style="23" customWidth="1"/>
    <col min="2058" max="2058" width="29.85546875" style="23" bestFit="1" customWidth="1"/>
    <col min="2059" max="2059" width="31.140625" style="23" customWidth="1"/>
    <col min="2060" max="2060" width="21.85546875" style="23" customWidth="1"/>
    <col min="2061" max="2061" width="14.140625" style="23" customWidth="1"/>
    <col min="2062" max="2062" width="25.7109375" style="23" customWidth="1"/>
    <col min="2063" max="2063" width="26.7109375" style="23" customWidth="1"/>
    <col min="2064" max="2064" width="58.42578125" style="23" bestFit="1" customWidth="1"/>
    <col min="2065" max="2065" width="12.42578125" style="23" customWidth="1"/>
    <col min="2066" max="2066" width="19.28515625" style="23" customWidth="1"/>
    <col min="2067" max="2067" width="16.5703125" style="23" customWidth="1"/>
    <col min="2068" max="2068" width="29" style="23" customWidth="1"/>
    <col min="2069" max="2308" width="9" style="23"/>
    <col min="2309" max="2309" width="15.28515625" style="23" customWidth="1"/>
    <col min="2310" max="2310" width="83.140625" style="23" bestFit="1" customWidth="1"/>
    <col min="2311" max="2311" width="22" style="23" customWidth="1"/>
    <col min="2312" max="2312" width="102.140625" style="23" bestFit="1" customWidth="1"/>
    <col min="2313" max="2313" width="17.28515625" style="23" customWidth="1"/>
    <col min="2314" max="2314" width="29.85546875" style="23" bestFit="1" customWidth="1"/>
    <col min="2315" max="2315" width="31.140625" style="23" customWidth="1"/>
    <col min="2316" max="2316" width="21.85546875" style="23" customWidth="1"/>
    <col min="2317" max="2317" width="14.140625" style="23" customWidth="1"/>
    <col min="2318" max="2318" width="25.7109375" style="23" customWidth="1"/>
    <col min="2319" max="2319" width="26.7109375" style="23" customWidth="1"/>
    <col min="2320" max="2320" width="58.42578125" style="23" bestFit="1" customWidth="1"/>
    <col min="2321" max="2321" width="12.42578125" style="23" customWidth="1"/>
    <col min="2322" max="2322" width="19.28515625" style="23" customWidth="1"/>
    <col min="2323" max="2323" width="16.5703125" style="23" customWidth="1"/>
    <col min="2324" max="2324" width="29" style="23" customWidth="1"/>
    <col min="2325" max="2564" width="9" style="23"/>
    <col min="2565" max="2565" width="15.28515625" style="23" customWidth="1"/>
    <col min="2566" max="2566" width="83.140625" style="23" bestFit="1" customWidth="1"/>
    <col min="2567" max="2567" width="22" style="23" customWidth="1"/>
    <col min="2568" max="2568" width="102.140625" style="23" bestFit="1" customWidth="1"/>
    <col min="2569" max="2569" width="17.28515625" style="23" customWidth="1"/>
    <col min="2570" max="2570" width="29.85546875" style="23" bestFit="1" customWidth="1"/>
    <col min="2571" max="2571" width="31.140625" style="23" customWidth="1"/>
    <col min="2572" max="2572" width="21.85546875" style="23" customWidth="1"/>
    <col min="2573" max="2573" width="14.140625" style="23" customWidth="1"/>
    <col min="2574" max="2574" width="25.7109375" style="23" customWidth="1"/>
    <col min="2575" max="2575" width="26.7109375" style="23" customWidth="1"/>
    <col min="2576" max="2576" width="58.42578125" style="23" bestFit="1" customWidth="1"/>
    <col min="2577" max="2577" width="12.42578125" style="23" customWidth="1"/>
    <col min="2578" max="2578" width="19.28515625" style="23" customWidth="1"/>
    <col min="2579" max="2579" width="16.5703125" style="23" customWidth="1"/>
    <col min="2580" max="2580" width="29" style="23" customWidth="1"/>
    <col min="2581" max="2820" width="9" style="23"/>
    <col min="2821" max="2821" width="15.28515625" style="23" customWidth="1"/>
    <col min="2822" max="2822" width="83.140625" style="23" bestFit="1" customWidth="1"/>
    <col min="2823" max="2823" width="22" style="23" customWidth="1"/>
    <col min="2824" max="2824" width="102.140625" style="23" bestFit="1" customWidth="1"/>
    <col min="2825" max="2825" width="17.28515625" style="23" customWidth="1"/>
    <col min="2826" max="2826" width="29.85546875" style="23" bestFit="1" customWidth="1"/>
    <col min="2827" max="2827" width="31.140625" style="23" customWidth="1"/>
    <col min="2828" max="2828" width="21.85546875" style="23" customWidth="1"/>
    <col min="2829" max="2829" width="14.140625" style="23" customWidth="1"/>
    <col min="2830" max="2830" width="25.7109375" style="23" customWidth="1"/>
    <col min="2831" max="2831" width="26.7109375" style="23" customWidth="1"/>
    <col min="2832" max="2832" width="58.42578125" style="23" bestFit="1" customWidth="1"/>
    <col min="2833" max="2833" width="12.42578125" style="23" customWidth="1"/>
    <col min="2834" max="2834" width="19.28515625" style="23" customWidth="1"/>
    <col min="2835" max="2835" width="16.5703125" style="23" customWidth="1"/>
    <col min="2836" max="2836" width="29" style="23" customWidth="1"/>
    <col min="2837" max="3076" width="9" style="23"/>
    <col min="3077" max="3077" width="15.28515625" style="23" customWidth="1"/>
    <col min="3078" max="3078" width="83.140625" style="23" bestFit="1" customWidth="1"/>
    <col min="3079" max="3079" width="22" style="23" customWidth="1"/>
    <col min="3080" max="3080" width="102.140625" style="23" bestFit="1" customWidth="1"/>
    <col min="3081" max="3081" width="17.28515625" style="23" customWidth="1"/>
    <col min="3082" max="3082" width="29.85546875" style="23" bestFit="1" customWidth="1"/>
    <col min="3083" max="3083" width="31.140625" style="23" customWidth="1"/>
    <col min="3084" max="3084" width="21.85546875" style="23" customWidth="1"/>
    <col min="3085" max="3085" width="14.140625" style="23" customWidth="1"/>
    <col min="3086" max="3086" width="25.7109375" style="23" customWidth="1"/>
    <col min="3087" max="3087" width="26.7109375" style="23" customWidth="1"/>
    <col min="3088" max="3088" width="58.42578125" style="23" bestFit="1" customWidth="1"/>
    <col min="3089" max="3089" width="12.42578125" style="23" customWidth="1"/>
    <col min="3090" max="3090" width="19.28515625" style="23" customWidth="1"/>
    <col min="3091" max="3091" width="16.5703125" style="23" customWidth="1"/>
    <col min="3092" max="3092" width="29" style="23" customWidth="1"/>
    <col min="3093" max="3332" width="9" style="23"/>
    <col min="3333" max="3333" width="15.28515625" style="23" customWidth="1"/>
    <col min="3334" max="3334" width="83.140625" style="23" bestFit="1" customWidth="1"/>
    <col min="3335" max="3335" width="22" style="23" customWidth="1"/>
    <col min="3336" max="3336" width="102.140625" style="23" bestFit="1" customWidth="1"/>
    <col min="3337" max="3337" width="17.28515625" style="23" customWidth="1"/>
    <col min="3338" max="3338" width="29.85546875" style="23" bestFit="1" customWidth="1"/>
    <col min="3339" max="3339" width="31.140625" style="23" customWidth="1"/>
    <col min="3340" max="3340" width="21.85546875" style="23" customWidth="1"/>
    <col min="3341" max="3341" width="14.140625" style="23" customWidth="1"/>
    <col min="3342" max="3342" width="25.7109375" style="23" customWidth="1"/>
    <col min="3343" max="3343" width="26.7109375" style="23" customWidth="1"/>
    <col min="3344" max="3344" width="58.42578125" style="23" bestFit="1" customWidth="1"/>
    <col min="3345" max="3345" width="12.42578125" style="23" customWidth="1"/>
    <col min="3346" max="3346" width="19.28515625" style="23" customWidth="1"/>
    <col min="3347" max="3347" width="16.5703125" style="23" customWidth="1"/>
    <col min="3348" max="3348" width="29" style="23" customWidth="1"/>
    <col min="3349" max="3588" width="9" style="23"/>
    <col min="3589" max="3589" width="15.28515625" style="23" customWidth="1"/>
    <col min="3590" max="3590" width="83.140625" style="23" bestFit="1" customWidth="1"/>
    <col min="3591" max="3591" width="22" style="23" customWidth="1"/>
    <col min="3592" max="3592" width="102.140625" style="23" bestFit="1" customWidth="1"/>
    <col min="3593" max="3593" width="17.28515625" style="23" customWidth="1"/>
    <col min="3594" max="3594" width="29.85546875" style="23" bestFit="1" customWidth="1"/>
    <col min="3595" max="3595" width="31.140625" style="23" customWidth="1"/>
    <col min="3596" max="3596" width="21.85546875" style="23" customWidth="1"/>
    <col min="3597" max="3597" width="14.140625" style="23" customWidth="1"/>
    <col min="3598" max="3598" width="25.7109375" style="23" customWidth="1"/>
    <col min="3599" max="3599" width="26.7109375" style="23" customWidth="1"/>
    <col min="3600" max="3600" width="58.42578125" style="23" bestFit="1" customWidth="1"/>
    <col min="3601" max="3601" width="12.42578125" style="23" customWidth="1"/>
    <col min="3602" max="3602" width="19.28515625" style="23" customWidth="1"/>
    <col min="3603" max="3603" width="16.5703125" style="23" customWidth="1"/>
    <col min="3604" max="3604" width="29" style="23" customWidth="1"/>
    <col min="3605" max="3844" width="9" style="23"/>
    <col min="3845" max="3845" width="15.28515625" style="23" customWidth="1"/>
    <col min="3846" max="3846" width="83.140625" style="23" bestFit="1" customWidth="1"/>
    <col min="3847" max="3847" width="22" style="23" customWidth="1"/>
    <col min="3848" max="3848" width="102.140625" style="23" bestFit="1" customWidth="1"/>
    <col min="3849" max="3849" width="17.28515625" style="23" customWidth="1"/>
    <col min="3850" max="3850" width="29.85546875" style="23" bestFit="1" customWidth="1"/>
    <col min="3851" max="3851" width="31.140625" style="23" customWidth="1"/>
    <col min="3852" max="3852" width="21.85546875" style="23" customWidth="1"/>
    <col min="3853" max="3853" width="14.140625" style="23" customWidth="1"/>
    <col min="3854" max="3854" width="25.7109375" style="23" customWidth="1"/>
    <col min="3855" max="3855" width="26.7109375" style="23" customWidth="1"/>
    <col min="3856" max="3856" width="58.42578125" style="23" bestFit="1" customWidth="1"/>
    <col min="3857" max="3857" width="12.42578125" style="23" customWidth="1"/>
    <col min="3858" max="3858" width="19.28515625" style="23" customWidth="1"/>
    <col min="3859" max="3859" width="16.5703125" style="23" customWidth="1"/>
    <col min="3860" max="3860" width="29" style="23" customWidth="1"/>
    <col min="3861" max="4100" width="9" style="23"/>
    <col min="4101" max="4101" width="15.28515625" style="23" customWidth="1"/>
    <col min="4102" max="4102" width="83.140625" style="23" bestFit="1" customWidth="1"/>
    <col min="4103" max="4103" width="22" style="23" customWidth="1"/>
    <col min="4104" max="4104" width="102.140625" style="23" bestFit="1" customWidth="1"/>
    <col min="4105" max="4105" width="17.28515625" style="23" customWidth="1"/>
    <col min="4106" max="4106" width="29.85546875" style="23" bestFit="1" customWidth="1"/>
    <col min="4107" max="4107" width="31.140625" style="23" customWidth="1"/>
    <col min="4108" max="4108" width="21.85546875" style="23" customWidth="1"/>
    <col min="4109" max="4109" width="14.140625" style="23" customWidth="1"/>
    <col min="4110" max="4110" width="25.7109375" style="23" customWidth="1"/>
    <col min="4111" max="4111" width="26.7109375" style="23" customWidth="1"/>
    <col min="4112" max="4112" width="58.42578125" style="23" bestFit="1" customWidth="1"/>
    <col min="4113" max="4113" width="12.42578125" style="23" customWidth="1"/>
    <col min="4114" max="4114" width="19.28515625" style="23" customWidth="1"/>
    <col min="4115" max="4115" width="16.5703125" style="23" customWidth="1"/>
    <col min="4116" max="4116" width="29" style="23" customWidth="1"/>
    <col min="4117" max="4356" width="9" style="23"/>
    <col min="4357" max="4357" width="15.28515625" style="23" customWidth="1"/>
    <col min="4358" max="4358" width="83.140625" style="23" bestFit="1" customWidth="1"/>
    <col min="4359" max="4359" width="22" style="23" customWidth="1"/>
    <col min="4360" max="4360" width="102.140625" style="23" bestFit="1" customWidth="1"/>
    <col min="4361" max="4361" width="17.28515625" style="23" customWidth="1"/>
    <col min="4362" max="4362" width="29.85546875" style="23" bestFit="1" customWidth="1"/>
    <col min="4363" max="4363" width="31.140625" style="23" customWidth="1"/>
    <col min="4364" max="4364" width="21.85546875" style="23" customWidth="1"/>
    <col min="4365" max="4365" width="14.140625" style="23" customWidth="1"/>
    <col min="4366" max="4366" width="25.7109375" style="23" customWidth="1"/>
    <col min="4367" max="4367" width="26.7109375" style="23" customWidth="1"/>
    <col min="4368" max="4368" width="58.42578125" style="23" bestFit="1" customWidth="1"/>
    <col min="4369" max="4369" width="12.42578125" style="23" customWidth="1"/>
    <col min="4370" max="4370" width="19.28515625" style="23" customWidth="1"/>
    <col min="4371" max="4371" width="16.5703125" style="23" customWidth="1"/>
    <col min="4372" max="4372" width="29" style="23" customWidth="1"/>
    <col min="4373" max="4612" width="9" style="23"/>
    <col min="4613" max="4613" width="15.28515625" style="23" customWidth="1"/>
    <col min="4614" max="4614" width="83.140625" style="23" bestFit="1" customWidth="1"/>
    <col min="4615" max="4615" width="22" style="23" customWidth="1"/>
    <col min="4616" max="4616" width="102.140625" style="23" bestFit="1" customWidth="1"/>
    <col min="4617" max="4617" width="17.28515625" style="23" customWidth="1"/>
    <col min="4618" max="4618" width="29.85546875" style="23" bestFit="1" customWidth="1"/>
    <col min="4619" max="4619" width="31.140625" style="23" customWidth="1"/>
    <col min="4620" max="4620" width="21.85546875" style="23" customWidth="1"/>
    <col min="4621" max="4621" width="14.140625" style="23" customWidth="1"/>
    <col min="4622" max="4622" width="25.7109375" style="23" customWidth="1"/>
    <col min="4623" max="4623" width="26.7109375" style="23" customWidth="1"/>
    <col min="4624" max="4624" width="58.42578125" style="23" bestFit="1" customWidth="1"/>
    <col min="4625" max="4625" width="12.42578125" style="23" customWidth="1"/>
    <col min="4626" max="4626" width="19.28515625" style="23" customWidth="1"/>
    <col min="4627" max="4627" width="16.5703125" style="23" customWidth="1"/>
    <col min="4628" max="4628" width="29" style="23" customWidth="1"/>
    <col min="4629" max="4868" width="9" style="23"/>
    <col min="4869" max="4869" width="15.28515625" style="23" customWidth="1"/>
    <col min="4870" max="4870" width="83.140625" style="23" bestFit="1" customWidth="1"/>
    <col min="4871" max="4871" width="22" style="23" customWidth="1"/>
    <col min="4872" max="4872" width="102.140625" style="23" bestFit="1" customWidth="1"/>
    <col min="4873" max="4873" width="17.28515625" style="23" customWidth="1"/>
    <col min="4874" max="4874" width="29.85546875" style="23" bestFit="1" customWidth="1"/>
    <col min="4875" max="4875" width="31.140625" style="23" customWidth="1"/>
    <col min="4876" max="4876" width="21.85546875" style="23" customWidth="1"/>
    <col min="4877" max="4877" width="14.140625" style="23" customWidth="1"/>
    <col min="4878" max="4878" width="25.7109375" style="23" customWidth="1"/>
    <col min="4879" max="4879" width="26.7109375" style="23" customWidth="1"/>
    <col min="4880" max="4880" width="58.42578125" style="23" bestFit="1" customWidth="1"/>
    <col min="4881" max="4881" width="12.42578125" style="23" customWidth="1"/>
    <col min="4882" max="4882" width="19.28515625" style="23" customWidth="1"/>
    <col min="4883" max="4883" width="16.5703125" style="23" customWidth="1"/>
    <col min="4884" max="4884" width="29" style="23" customWidth="1"/>
    <col min="4885" max="5124" width="9" style="23"/>
    <col min="5125" max="5125" width="15.28515625" style="23" customWidth="1"/>
    <col min="5126" max="5126" width="83.140625" style="23" bestFit="1" customWidth="1"/>
    <col min="5127" max="5127" width="22" style="23" customWidth="1"/>
    <col min="5128" max="5128" width="102.140625" style="23" bestFit="1" customWidth="1"/>
    <col min="5129" max="5129" width="17.28515625" style="23" customWidth="1"/>
    <col min="5130" max="5130" width="29.85546875" style="23" bestFit="1" customWidth="1"/>
    <col min="5131" max="5131" width="31.140625" style="23" customWidth="1"/>
    <col min="5132" max="5132" width="21.85546875" style="23" customWidth="1"/>
    <col min="5133" max="5133" width="14.140625" style="23" customWidth="1"/>
    <col min="5134" max="5134" width="25.7109375" style="23" customWidth="1"/>
    <col min="5135" max="5135" width="26.7109375" style="23" customWidth="1"/>
    <col min="5136" max="5136" width="58.42578125" style="23" bestFit="1" customWidth="1"/>
    <col min="5137" max="5137" width="12.42578125" style="23" customWidth="1"/>
    <col min="5138" max="5138" width="19.28515625" style="23" customWidth="1"/>
    <col min="5139" max="5139" width="16.5703125" style="23" customWidth="1"/>
    <col min="5140" max="5140" width="29" style="23" customWidth="1"/>
    <col min="5141" max="5380" width="9" style="23"/>
    <col min="5381" max="5381" width="15.28515625" style="23" customWidth="1"/>
    <col min="5382" max="5382" width="83.140625" style="23" bestFit="1" customWidth="1"/>
    <col min="5383" max="5383" width="22" style="23" customWidth="1"/>
    <col min="5384" max="5384" width="102.140625" style="23" bestFit="1" customWidth="1"/>
    <col min="5385" max="5385" width="17.28515625" style="23" customWidth="1"/>
    <col min="5386" max="5386" width="29.85546875" style="23" bestFit="1" customWidth="1"/>
    <col min="5387" max="5387" width="31.140625" style="23" customWidth="1"/>
    <col min="5388" max="5388" width="21.85546875" style="23" customWidth="1"/>
    <col min="5389" max="5389" width="14.140625" style="23" customWidth="1"/>
    <col min="5390" max="5390" width="25.7109375" style="23" customWidth="1"/>
    <col min="5391" max="5391" width="26.7109375" style="23" customWidth="1"/>
    <col min="5392" max="5392" width="58.42578125" style="23" bestFit="1" customWidth="1"/>
    <col min="5393" max="5393" width="12.42578125" style="23" customWidth="1"/>
    <col min="5394" max="5394" width="19.28515625" style="23" customWidth="1"/>
    <col min="5395" max="5395" width="16.5703125" style="23" customWidth="1"/>
    <col min="5396" max="5396" width="29" style="23" customWidth="1"/>
    <col min="5397" max="5636" width="9" style="23"/>
    <col min="5637" max="5637" width="15.28515625" style="23" customWidth="1"/>
    <col min="5638" max="5638" width="83.140625" style="23" bestFit="1" customWidth="1"/>
    <col min="5639" max="5639" width="22" style="23" customWidth="1"/>
    <col min="5640" max="5640" width="102.140625" style="23" bestFit="1" customWidth="1"/>
    <col min="5641" max="5641" width="17.28515625" style="23" customWidth="1"/>
    <col min="5642" max="5642" width="29.85546875" style="23" bestFit="1" customWidth="1"/>
    <col min="5643" max="5643" width="31.140625" style="23" customWidth="1"/>
    <col min="5644" max="5644" width="21.85546875" style="23" customWidth="1"/>
    <col min="5645" max="5645" width="14.140625" style="23" customWidth="1"/>
    <col min="5646" max="5646" width="25.7109375" style="23" customWidth="1"/>
    <col min="5647" max="5647" width="26.7109375" style="23" customWidth="1"/>
    <col min="5648" max="5648" width="58.42578125" style="23" bestFit="1" customWidth="1"/>
    <col min="5649" max="5649" width="12.42578125" style="23" customWidth="1"/>
    <col min="5650" max="5650" width="19.28515625" style="23" customWidth="1"/>
    <col min="5651" max="5651" width="16.5703125" style="23" customWidth="1"/>
    <col min="5652" max="5652" width="29" style="23" customWidth="1"/>
    <col min="5653" max="5892" width="9" style="23"/>
    <col min="5893" max="5893" width="15.28515625" style="23" customWidth="1"/>
    <col min="5894" max="5894" width="83.140625" style="23" bestFit="1" customWidth="1"/>
    <col min="5895" max="5895" width="22" style="23" customWidth="1"/>
    <col min="5896" max="5896" width="102.140625" style="23" bestFit="1" customWidth="1"/>
    <col min="5897" max="5897" width="17.28515625" style="23" customWidth="1"/>
    <col min="5898" max="5898" width="29.85546875" style="23" bestFit="1" customWidth="1"/>
    <col min="5899" max="5899" width="31.140625" style="23" customWidth="1"/>
    <col min="5900" max="5900" width="21.85546875" style="23" customWidth="1"/>
    <col min="5901" max="5901" width="14.140625" style="23" customWidth="1"/>
    <col min="5902" max="5902" width="25.7109375" style="23" customWidth="1"/>
    <col min="5903" max="5903" width="26.7109375" style="23" customWidth="1"/>
    <col min="5904" max="5904" width="58.42578125" style="23" bestFit="1" customWidth="1"/>
    <col min="5905" max="5905" width="12.42578125" style="23" customWidth="1"/>
    <col min="5906" max="5906" width="19.28515625" style="23" customWidth="1"/>
    <col min="5907" max="5907" width="16.5703125" style="23" customWidth="1"/>
    <col min="5908" max="5908" width="29" style="23" customWidth="1"/>
    <col min="5909" max="6148" width="9" style="23"/>
    <col min="6149" max="6149" width="15.28515625" style="23" customWidth="1"/>
    <col min="6150" max="6150" width="83.140625" style="23" bestFit="1" customWidth="1"/>
    <col min="6151" max="6151" width="22" style="23" customWidth="1"/>
    <col min="6152" max="6152" width="102.140625" style="23" bestFit="1" customWidth="1"/>
    <col min="6153" max="6153" width="17.28515625" style="23" customWidth="1"/>
    <col min="6154" max="6154" width="29.85546875" style="23" bestFit="1" customWidth="1"/>
    <col min="6155" max="6155" width="31.140625" style="23" customWidth="1"/>
    <col min="6156" max="6156" width="21.85546875" style="23" customWidth="1"/>
    <col min="6157" max="6157" width="14.140625" style="23" customWidth="1"/>
    <col min="6158" max="6158" width="25.7109375" style="23" customWidth="1"/>
    <col min="6159" max="6159" width="26.7109375" style="23" customWidth="1"/>
    <col min="6160" max="6160" width="58.42578125" style="23" bestFit="1" customWidth="1"/>
    <col min="6161" max="6161" width="12.42578125" style="23" customWidth="1"/>
    <col min="6162" max="6162" width="19.28515625" style="23" customWidth="1"/>
    <col min="6163" max="6163" width="16.5703125" style="23" customWidth="1"/>
    <col min="6164" max="6164" width="29" style="23" customWidth="1"/>
    <col min="6165" max="6404" width="9" style="23"/>
    <col min="6405" max="6405" width="15.28515625" style="23" customWidth="1"/>
    <col min="6406" max="6406" width="83.140625" style="23" bestFit="1" customWidth="1"/>
    <col min="6407" max="6407" width="22" style="23" customWidth="1"/>
    <col min="6408" max="6408" width="102.140625" style="23" bestFit="1" customWidth="1"/>
    <col min="6409" max="6409" width="17.28515625" style="23" customWidth="1"/>
    <col min="6410" max="6410" width="29.85546875" style="23" bestFit="1" customWidth="1"/>
    <col min="6411" max="6411" width="31.140625" style="23" customWidth="1"/>
    <col min="6412" max="6412" width="21.85546875" style="23" customWidth="1"/>
    <col min="6413" max="6413" width="14.140625" style="23" customWidth="1"/>
    <col min="6414" max="6414" width="25.7109375" style="23" customWidth="1"/>
    <col min="6415" max="6415" width="26.7109375" style="23" customWidth="1"/>
    <col min="6416" max="6416" width="58.42578125" style="23" bestFit="1" customWidth="1"/>
    <col min="6417" max="6417" width="12.42578125" style="23" customWidth="1"/>
    <col min="6418" max="6418" width="19.28515625" style="23" customWidth="1"/>
    <col min="6419" max="6419" width="16.5703125" style="23" customWidth="1"/>
    <col min="6420" max="6420" width="29" style="23" customWidth="1"/>
    <col min="6421" max="6660" width="9" style="23"/>
    <col min="6661" max="6661" width="15.28515625" style="23" customWidth="1"/>
    <col min="6662" max="6662" width="83.140625" style="23" bestFit="1" customWidth="1"/>
    <col min="6663" max="6663" width="22" style="23" customWidth="1"/>
    <col min="6664" max="6664" width="102.140625" style="23" bestFit="1" customWidth="1"/>
    <col min="6665" max="6665" width="17.28515625" style="23" customWidth="1"/>
    <col min="6666" max="6666" width="29.85546875" style="23" bestFit="1" customWidth="1"/>
    <col min="6667" max="6667" width="31.140625" style="23" customWidth="1"/>
    <col min="6668" max="6668" width="21.85546875" style="23" customWidth="1"/>
    <col min="6669" max="6669" width="14.140625" style="23" customWidth="1"/>
    <col min="6670" max="6670" width="25.7109375" style="23" customWidth="1"/>
    <col min="6671" max="6671" width="26.7109375" style="23" customWidth="1"/>
    <col min="6672" max="6672" width="58.42578125" style="23" bestFit="1" customWidth="1"/>
    <col min="6673" max="6673" width="12.42578125" style="23" customWidth="1"/>
    <col min="6674" max="6674" width="19.28515625" style="23" customWidth="1"/>
    <col min="6675" max="6675" width="16.5703125" style="23" customWidth="1"/>
    <col min="6676" max="6676" width="29" style="23" customWidth="1"/>
    <col min="6677" max="6916" width="9" style="23"/>
    <col min="6917" max="6917" width="15.28515625" style="23" customWidth="1"/>
    <col min="6918" max="6918" width="83.140625" style="23" bestFit="1" customWidth="1"/>
    <col min="6919" max="6919" width="22" style="23" customWidth="1"/>
    <col min="6920" max="6920" width="102.140625" style="23" bestFit="1" customWidth="1"/>
    <col min="6921" max="6921" width="17.28515625" style="23" customWidth="1"/>
    <col min="6922" max="6922" width="29.85546875" style="23" bestFit="1" customWidth="1"/>
    <col min="6923" max="6923" width="31.140625" style="23" customWidth="1"/>
    <col min="6924" max="6924" width="21.85546875" style="23" customWidth="1"/>
    <col min="6925" max="6925" width="14.140625" style="23" customWidth="1"/>
    <col min="6926" max="6926" width="25.7109375" style="23" customWidth="1"/>
    <col min="6927" max="6927" width="26.7109375" style="23" customWidth="1"/>
    <col min="6928" max="6928" width="58.42578125" style="23" bestFit="1" customWidth="1"/>
    <col min="6929" max="6929" width="12.42578125" style="23" customWidth="1"/>
    <col min="6930" max="6930" width="19.28515625" style="23" customWidth="1"/>
    <col min="6931" max="6931" width="16.5703125" style="23" customWidth="1"/>
    <col min="6932" max="6932" width="29" style="23" customWidth="1"/>
    <col min="6933" max="7172" width="9" style="23"/>
    <col min="7173" max="7173" width="15.28515625" style="23" customWidth="1"/>
    <col min="7174" max="7174" width="83.140625" style="23" bestFit="1" customWidth="1"/>
    <col min="7175" max="7175" width="22" style="23" customWidth="1"/>
    <col min="7176" max="7176" width="102.140625" style="23" bestFit="1" customWidth="1"/>
    <col min="7177" max="7177" width="17.28515625" style="23" customWidth="1"/>
    <col min="7178" max="7178" width="29.85546875" style="23" bestFit="1" customWidth="1"/>
    <col min="7179" max="7179" width="31.140625" style="23" customWidth="1"/>
    <col min="7180" max="7180" width="21.85546875" style="23" customWidth="1"/>
    <col min="7181" max="7181" width="14.140625" style="23" customWidth="1"/>
    <col min="7182" max="7182" width="25.7109375" style="23" customWidth="1"/>
    <col min="7183" max="7183" width="26.7109375" style="23" customWidth="1"/>
    <col min="7184" max="7184" width="58.42578125" style="23" bestFit="1" customWidth="1"/>
    <col min="7185" max="7185" width="12.42578125" style="23" customWidth="1"/>
    <col min="7186" max="7186" width="19.28515625" style="23" customWidth="1"/>
    <col min="7187" max="7187" width="16.5703125" style="23" customWidth="1"/>
    <col min="7188" max="7188" width="29" style="23" customWidth="1"/>
    <col min="7189" max="7428" width="9" style="23"/>
    <col min="7429" max="7429" width="15.28515625" style="23" customWidth="1"/>
    <col min="7430" max="7430" width="83.140625" style="23" bestFit="1" customWidth="1"/>
    <col min="7431" max="7431" width="22" style="23" customWidth="1"/>
    <col min="7432" max="7432" width="102.140625" style="23" bestFit="1" customWidth="1"/>
    <col min="7433" max="7433" width="17.28515625" style="23" customWidth="1"/>
    <col min="7434" max="7434" width="29.85546875" style="23" bestFit="1" customWidth="1"/>
    <col min="7435" max="7435" width="31.140625" style="23" customWidth="1"/>
    <col min="7436" max="7436" width="21.85546875" style="23" customWidth="1"/>
    <col min="7437" max="7437" width="14.140625" style="23" customWidth="1"/>
    <col min="7438" max="7438" width="25.7109375" style="23" customWidth="1"/>
    <col min="7439" max="7439" width="26.7109375" style="23" customWidth="1"/>
    <col min="7440" max="7440" width="58.42578125" style="23" bestFit="1" customWidth="1"/>
    <col min="7441" max="7441" width="12.42578125" style="23" customWidth="1"/>
    <col min="7442" max="7442" width="19.28515625" style="23" customWidth="1"/>
    <col min="7443" max="7443" width="16.5703125" style="23" customWidth="1"/>
    <col min="7444" max="7444" width="29" style="23" customWidth="1"/>
    <col min="7445" max="7684" width="9" style="23"/>
    <col min="7685" max="7685" width="15.28515625" style="23" customWidth="1"/>
    <col min="7686" max="7686" width="83.140625" style="23" bestFit="1" customWidth="1"/>
    <col min="7687" max="7687" width="22" style="23" customWidth="1"/>
    <col min="7688" max="7688" width="102.140625" style="23" bestFit="1" customWidth="1"/>
    <col min="7689" max="7689" width="17.28515625" style="23" customWidth="1"/>
    <col min="7690" max="7690" width="29.85546875" style="23" bestFit="1" customWidth="1"/>
    <col min="7691" max="7691" width="31.140625" style="23" customWidth="1"/>
    <col min="7692" max="7692" width="21.85546875" style="23" customWidth="1"/>
    <col min="7693" max="7693" width="14.140625" style="23" customWidth="1"/>
    <col min="7694" max="7694" width="25.7109375" style="23" customWidth="1"/>
    <col min="7695" max="7695" width="26.7109375" style="23" customWidth="1"/>
    <col min="7696" max="7696" width="58.42578125" style="23" bestFit="1" customWidth="1"/>
    <col min="7697" max="7697" width="12.42578125" style="23" customWidth="1"/>
    <col min="7698" max="7698" width="19.28515625" style="23" customWidth="1"/>
    <col min="7699" max="7699" width="16.5703125" style="23" customWidth="1"/>
    <col min="7700" max="7700" width="29" style="23" customWidth="1"/>
    <col min="7701" max="7940" width="9" style="23"/>
    <col min="7941" max="7941" width="15.28515625" style="23" customWidth="1"/>
    <col min="7942" max="7942" width="83.140625" style="23" bestFit="1" customWidth="1"/>
    <col min="7943" max="7943" width="22" style="23" customWidth="1"/>
    <col min="7944" max="7944" width="102.140625" style="23" bestFit="1" customWidth="1"/>
    <col min="7945" max="7945" width="17.28515625" style="23" customWidth="1"/>
    <col min="7946" max="7946" width="29.85546875" style="23" bestFit="1" customWidth="1"/>
    <col min="7947" max="7947" width="31.140625" style="23" customWidth="1"/>
    <col min="7948" max="7948" width="21.85546875" style="23" customWidth="1"/>
    <col min="7949" max="7949" width="14.140625" style="23" customWidth="1"/>
    <col min="7950" max="7950" width="25.7109375" style="23" customWidth="1"/>
    <col min="7951" max="7951" width="26.7109375" style="23" customWidth="1"/>
    <col min="7952" max="7952" width="58.42578125" style="23" bestFit="1" customWidth="1"/>
    <col min="7953" max="7953" width="12.42578125" style="23" customWidth="1"/>
    <col min="7954" max="7954" width="19.28515625" style="23" customWidth="1"/>
    <col min="7955" max="7955" width="16.5703125" style="23" customWidth="1"/>
    <col min="7956" max="7956" width="29" style="23" customWidth="1"/>
    <col min="7957" max="8196" width="9" style="23"/>
    <col min="8197" max="8197" width="15.28515625" style="23" customWidth="1"/>
    <col min="8198" max="8198" width="83.140625" style="23" bestFit="1" customWidth="1"/>
    <col min="8199" max="8199" width="22" style="23" customWidth="1"/>
    <col min="8200" max="8200" width="102.140625" style="23" bestFit="1" customWidth="1"/>
    <col min="8201" max="8201" width="17.28515625" style="23" customWidth="1"/>
    <col min="8202" max="8202" width="29.85546875" style="23" bestFit="1" customWidth="1"/>
    <col min="8203" max="8203" width="31.140625" style="23" customWidth="1"/>
    <col min="8204" max="8204" width="21.85546875" style="23" customWidth="1"/>
    <col min="8205" max="8205" width="14.140625" style="23" customWidth="1"/>
    <col min="8206" max="8206" width="25.7109375" style="23" customWidth="1"/>
    <col min="8207" max="8207" width="26.7109375" style="23" customWidth="1"/>
    <col min="8208" max="8208" width="58.42578125" style="23" bestFit="1" customWidth="1"/>
    <col min="8209" max="8209" width="12.42578125" style="23" customWidth="1"/>
    <col min="8210" max="8210" width="19.28515625" style="23" customWidth="1"/>
    <col min="8211" max="8211" width="16.5703125" style="23" customWidth="1"/>
    <col min="8212" max="8212" width="29" style="23" customWidth="1"/>
    <col min="8213" max="8452" width="9" style="23"/>
    <col min="8453" max="8453" width="15.28515625" style="23" customWidth="1"/>
    <col min="8454" max="8454" width="83.140625" style="23" bestFit="1" customWidth="1"/>
    <col min="8455" max="8455" width="22" style="23" customWidth="1"/>
    <col min="8456" max="8456" width="102.140625" style="23" bestFit="1" customWidth="1"/>
    <col min="8457" max="8457" width="17.28515625" style="23" customWidth="1"/>
    <col min="8458" max="8458" width="29.85546875" style="23" bestFit="1" customWidth="1"/>
    <col min="8459" max="8459" width="31.140625" style="23" customWidth="1"/>
    <col min="8460" max="8460" width="21.85546875" style="23" customWidth="1"/>
    <col min="8461" max="8461" width="14.140625" style="23" customWidth="1"/>
    <col min="8462" max="8462" width="25.7109375" style="23" customWidth="1"/>
    <col min="8463" max="8463" width="26.7109375" style="23" customWidth="1"/>
    <col min="8464" max="8464" width="58.42578125" style="23" bestFit="1" customWidth="1"/>
    <col min="8465" max="8465" width="12.42578125" style="23" customWidth="1"/>
    <col min="8466" max="8466" width="19.28515625" style="23" customWidth="1"/>
    <col min="8467" max="8467" width="16.5703125" style="23" customWidth="1"/>
    <col min="8468" max="8468" width="29" style="23" customWidth="1"/>
    <col min="8469" max="8708" width="9" style="23"/>
    <col min="8709" max="8709" width="15.28515625" style="23" customWidth="1"/>
    <col min="8710" max="8710" width="83.140625" style="23" bestFit="1" customWidth="1"/>
    <col min="8711" max="8711" width="22" style="23" customWidth="1"/>
    <col min="8712" max="8712" width="102.140625" style="23" bestFit="1" customWidth="1"/>
    <col min="8713" max="8713" width="17.28515625" style="23" customWidth="1"/>
    <col min="8714" max="8714" width="29.85546875" style="23" bestFit="1" customWidth="1"/>
    <col min="8715" max="8715" width="31.140625" style="23" customWidth="1"/>
    <col min="8716" max="8716" width="21.85546875" style="23" customWidth="1"/>
    <col min="8717" max="8717" width="14.140625" style="23" customWidth="1"/>
    <col min="8718" max="8718" width="25.7109375" style="23" customWidth="1"/>
    <col min="8719" max="8719" width="26.7109375" style="23" customWidth="1"/>
    <col min="8720" max="8720" width="58.42578125" style="23" bestFit="1" customWidth="1"/>
    <col min="8721" max="8721" width="12.42578125" style="23" customWidth="1"/>
    <col min="8722" max="8722" width="19.28515625" style="23" customWidth="1"/>
    <col min="8723" max="8723" width="16.5703125" style="23" customWidth="1"/>
    <col min="8724" max="8724" width="29" style="23" customWidth="1"/>
    <col min="8725" max="8964" width="9" style="23"/>
    <col min="8965" max="8965" width="15.28515625" style="23" customWidth="1"/>
    <col min="8966" max="8966" width="83.140625" style="23" bestFit="1" customWidth="1"/>
    <col min="8967" max="8967" width="22" style="23" customWidth="1"/>
    <col min="8968" max="8968" width="102.140625" style="23" bestFit="1" customWidth="1"/>
    <col min="8969" max="8969" width="17.28515625" style="23" customWidth="1"/>
    <col min="8970" max="8970" width="29.85546875" style="23" bestFit="1" customWidth="1"/>
    <col min="8971" max="8971" width="31.140625" style="23" customWidth="1"/>
    <col min="8972" max="8972" width="21.85546875" style="23" customWidth="1"/>
    <col min="8973" max="8973" width="14.140625" style="23" customWidth="1"/>
    <col min="8974" max="8974" width="25.7109375" style="23" customWidth="1"/>
    <col min="8975" max="8975" width="26.7109375" style="23" customWidth="1"/>
    <col min="8976" max="8976" width="58.42578125" style="23" bestFit="1" customWidth="1"/>
    <col min="8977" max="8977" width="12.42578125" style="23" customWidth="1"/>
    <col min="8978" max="8978" width="19.28515625" style="23" customWidth="1"/>
    <col min="8979" max="8979" width="16.5703125" style="23" customWidth="1"/>
    <col min="8980" max="8980" width="29" style="23" customWidth="1"/>
    <col min="8981" max="9220" width="9" style="23"/>
    <col min="9221" max="9221" width="15.28515625" style="23" customWidth="1"/>
    <col min="9222" max="9222" width="83.140625" style="23" bestFit="1" customWidth="1"/>
    <col min="9223" max="9223" width="22" style="23" customWidth="1"/>
    <col min="9224" max="9224" width="102.140625" style="23" bestFit="1" customWidth="1"/>
    <col min="9225" max="9225" width="17.28515625" style="23" customWidth="1"/>
    <col min="9226" max="9226" width="29.85546875" style="23" bestFit="1" customWidth="1"/>
    <col min="9227" max="9227" width="31.140625" style="23" customWidth="1"/>
    <col min="9228" max="9228" width="21.85546875" style="23" customWidth="1"/>
    <col min="9229" max="9229" width="14.140625" style="23" customWidth="1"/>
    <col min="9230" max="9230" width="25.7109375" style="23" customWidth="1"/>
    <col min="9231" max="9231" width="26.7109375" style="23" customWidth="1"/>
    <col min="9232" max="9232" width="58.42578125" style="23" bestFit="1" customWidth="1"/>
    <col min="9233" max="9233" width="12.42578125" style="23" customWidth="1"/>
    <col min="9234" max="9234" width="19.28515625" style="23" customWidth="1"/>
    <col min="9235" max="9235" width="16.5703125" style="23" customWidth="1"/>
    <col min="9236" max="9236" width="29" style="23" customWidth="1"/>
    <col min="9237" max="9476" width="9" style="23"/>
    <col min="9477" max="9477" width="15.28515625" style="23" customWidth="1"/>
    <col min="9478" max="9478" width="83.140625" style="23" bestFit="1" customWidth="1"/>
    <col min="9479" max="9479" width="22" style="23" customWidth="1"/>
    <col min="9480" max="9480" width="102.140625" style="23" bestFit="1" customWidth="1"/>
    <col min="9481" max="9481" width="17.28515625" style="23" customWidth="1"/>
    <col min="9482" max="9482" width="29.85546875" style="23" bestFit="1" customWidth="1"/>
    <col min="9483" max="9483" width="31.140625" style="23" customWidth="1"/>
    <col min="9484" max="9484" width="21.85546875" style="23" customWidth="1"/>
    <col min="9485" max="9485" width="14.140625" style="23" customWidth="1"/>
    <col min="9486" max="9486" width="25.7109375" style="23" customWidth="1"/>
    <col min="9487" max="9487" width="26.7109375" style="23" customWidth="1"/>
    <col min="9488" max="9488" width="58.42578125" style="23" bestFit="1" customWidth="1"/>
    <col min="9489" max="9489" width="12.42578125" style="23" customWidth="1"/>
    <col min="9490" max="9490" width="19.28515625" style="23" customWidth="1"/>
    <col min="9491" max="9491" width="16.5703125" style="23" customWidth="1"/>
    <col min="9492" max="9492" width="29" style="23" customWidth="1"/>
    <col min="9493" max="9732" width="9" style="23"/>
    <col min="9733" max="9733" width="15.28515625" style="23" customWidth="1"/>
    <col min="9734" max="9734" width="83.140625" style="23" bestFit="1" customWidth="1"/>
    <col min="9735" max="9735" width="22" style="23" customWidth="1"/>
    <col min="9736" max="9736" width="102.140625" style="23" bestFit="1" customWidth="1"/>
    <col min="9737" max="9737" width="17.28515625" style="23" customWidth="1"/>
    <col min="9738" max="9738" width="29.85546875" style="23" bestFit="1" customWidth="1"/>
    <col min="9739" max="9739" width="31.140625" style="23" customWidth="1"/>
    <col min="9740" max="9740" width="21.85546875" style="23" customWidth="1"/>
    <col min="9741" max="9741" width="14.140625" style="23" customWidth="1"/>
    <col min="9742" max="9742" width="25.7109375" style="23" customWidth="1"/>
    <col min="9743" max="9743" width="26.7109375" style="23" customWidth="1"/>
    <col min="9744" max="9744" width="58.42578125" style="23" bestFit="1" customWidth="1"/>
    <col min="9745" max="9745" width="12.42578125" style="23" customWidth="1"/>
    <col min="9746" max="9746" width="19.28515625" style="23" customWidth="1"/>
    <col min="9747" max="9747" width="16.5703125" style="23" customWidth="1"/>
    <col min="9748" max="9748" width="29" style="23" customWidth="1"/>
    <col min="9749" max="9988" width="9" style="23"/>
    <col min="9989" max="9989" width="15.28515625" style="23" customWidth="1"/>
    <col min="9990" max="9990" width="83.140625" style="23" bestFit="1" customWidth="1"/>
    <col min="9991" max="9991" width="22" style="23" customWidth="1"/>
    <col min="9992" max="9992" width="102.140625" style="23" bestFit="1" customWidth="1"/>
    <col min="9993" max="9993" width="17.28515625" style="23" customWidth="1"/>
    <col min="9994" max="9994" width="29.85546875" style="23" bestFit="1" customWidth="1"/>
    <col min="9995" max="9995" width="31.140625" style="23" customWidth="1"/>
    <col min="9996" max="9996" width="21.85546875" style="23" customWidth="1"/>
    <col min="9997" max="9997" width="14.140625" style="23" customWidth="1"/>
    <col min="9998" max="9998" width="25.7109375" style="23" customWidth="1"/>
    <col min="9999" max="9999" width="26.7109375" style="23" customWidth="1"/>
    <col min="10000" max="10000" width="58.42578125" style="23" bestFit="1" customWidth="1"/>
    <col min="10001" max="10001" width="12.42578125" style="23" customWidth="1"/>
    <col min="10002" max="10002" width="19.28515625" style="23" customWidth="1"/>
    <col min="10003" max="10003" width="16.5703125" style="23" customWidth="1"/>
    <col min="10004" max="10004" width="29" style="23" customWidth="1"/>
    <col min="10005" max="10244" width="9" style="23"/>
    <col min="10245" max="10245" width="15.28515625" style="23" customWidth="1"/>
    <col min="10246" max="10246" width="83.140625" style="23" bestFit="1" customWidth="1"/>
    <col min="10247" max="10247" width="22" style="23" customWidth="1"/>
    <col min="10248" max="10248" width="102.140625" style="23" bestFit="1" customWidth="1"/>
    <col min="10249" max="10249" width="17.28515625" style="23" customWidth="1"/>
    <col min="10250" max="10250" width="29.85546875" style="23" bestFit="1" customWidth="1"/>
    <col min="10251" max="10251" width="31.140625" style="23" customWidth="1"/>
    <col min="10252" max="10252" width="21.85546875" style="23" customWidth="1"/>
    <col min="10253" max="10253" width="14.140625" style="23" customWidth="1"/>
    <col min="10254" max="10254" width="25.7109375" style="23" customWidth="1"/>
    <col min="10255" max="10255" width="26.7109375" style="23" customWidth="1"/>
    <col min="10256" max="10256" width="58.42578125" style="23" bestFit="1" customWidth="1"/>
    <col min="10257" max="10257" width="12.42578125" style="23" customWidth="1"/>
    <col min="10258" max="10258" width="19.28515625" style="23" customWidth="1"/>
    <col min="10259" max="10259" width="16.5703125" style="23" customWidth="1"/>
    <col min="10260" max="10260" width="29" style="23" customWidth="1"/>
    <col min="10261" max="10500" width="9" style="23"/>
    <col min="10501" max="10501" width="15.28515625" style="23" customWidth="1"/>
    <col min="10502" max="10502" width="83.140625" style="23" bestFit="1" customWidth="1"/>
    <col min="10503" max="10503" width="22" style="23" customWidth="1"/>
    <col min="10504" max="10504" width="102.140625" style="23" bestFit="1" customWidth="1"/>
    <col min="10505" max="10505" width="17.28515625" style="23" customWidth="1"/>
    <col min="10506" max="10506" width="29.85546875" style="23" bestFit="1" customWidth="1"/>
    <col min="10507" max="10507" width="31.140625" style="23" customWidth="1"/>
    <col min="10508" max="10508" width="21.85546875" style="23" customWidth="1"/>
    <col min="10509" max="10509" width="14.140625" style="23" customWidth="1"/>
    <col min="10510" max="10510" width="25.7109375" style="23" customWidth="1"/>
    <col min="10511" max="10511" width="26.7109375" style="23" customWidth="1"/>
    <col min="10512" max="10512" width="58.42578125" style="23" bestFit="1" customWidth="1"/>
    <col min="10513" max="10513" width="12.42578125" style="23" customWidth="1"/>
    <col min="10514" max="10514" width="19.28515625" style="23" customWidth="1"/>
    <col min="10515" max="10515" width="16.5703125" style="23" customWidth="1"/>
    <col min="10516" max="10516" width="29" style="23" customWidth="1"/>
    <col min="10517" max="10756" width="9" style="23"/>
    <col min="10757" max="10757" width="15.28515625" style="23" customWidth="1"/>
    <col min="10758" max="10758" width="83.140625" style="23" bestFit="1" customWidth="1"/>
    <col min="10759" max="10759" width="22" style="23" customWidth="1"/>
    <col min="10760" max="10760" width="102.140625" style="23" bestFit="1" customWidth="1"/>
    <col min="10761" max="10761" width="17.28515625" style="23" customWidth="1"/>
    <col min="10762" max="10762" width="29.85546875" style="23" bestFit="1" customWidth="1"/>
    <col min="10763" max="10763" width="31.140625" style="23" customWidth="1"/>
    <col min="10764" max="10764" width="21.85546875" style="23" customWidth="1"/>
    <col min="10765" max="10765" width="14.140625" style="23" customWidth="1"/>
    <col min="10766" max="10766" width="25.7109375" style="23" customWidth="1"/>
    <col min="10767" max="10767" width="26.7109375" style="23" customWidth="1"/>
    <col min="10768" max="10768" width="58.42578125" style="23" bestFit="1" customWidth="1"/>
    <col min="10769" max="10769" width="12.42578125" style="23" customWidth="1"/>
    <col min="10770" max="10770" width="19.28515625" style="23" customWidth="1"/>
    <col min="10771" max="10771" width="16.5703125" style="23" customWidth="1"/>
    <col min="10772" max="10772" width="29" style="23" customWidth="1"/>
    <col min="10773" max="11012" width="9" style="23"/>
    <col min="11013" max="11013" width="15.28515625" style="23" customWidth="1"/>
    <col min="11014" max="11014" width="83.140625" style="23" bestFit="1" customWidth="1"/>
    <col min="11015" max="11015" width="22" style="23" customWidth="1"/>
    <col min="11016" max="11016" width="102.140625" style="23" bestFit="1" customWidth="1"/>
    <col min="11017" max="11017" width="17.28515625" style="23" customWidth="1"/>
    <col min="11018" max="11018" width="29.85546875" style="23" bestFit="1" customWidth="1"/>
    <col min="11019" max="11019" width="31.140625" style="23" customWidth="1"/>
    <col min="11020" max="11020" width="21.85546875" style="23" customWidth="1"/>
    <col min="11021" max="11021" width="14.140625" style="23" customWidth="1"/>
    <col min="11022" max="11022" width="25.7109375" style="23" customWidth="1"/>
    <col min="11023" max="11023" width="26.7109375" style="23" customWidth="1"/>
    <col min="11024" max="11024" width="58.42578125" style="23" bestFit="1" customWidth="1"/>
    <col min="11025" max="11025" width="12.42578125" style="23" customWidth="1"/>
    <col min="11026" max="11026" width="19.28515625" style="23" customWidth="1"/>
    <col min="11027" max="11027" width="16.5703125" style="23" customWidth="1"/>
    <col min="11028" max="11028" width="29" style="23" customWidth="1"/>
    <col min="11029" max="11268" width="9" style="23"/>
    <col min="11269" max="11269" width="15.28515625" style="23" customWidth="1"/>
    <col min="11270" max="11270" width="83.140625" style="23" bestFit="1" customWidth="1"/>
    <col min="11271" max="11271" width="22" style="23" customWidth="1"/>
    <col min="11272" max="11272" width="102.140625" style="23" bestFit="1" customWidth="1"/>
    <col min="11273" max="11273" width="17.28515625" style="23" customWidth="1"/>
    <col min="11274" max="11274" width="29.85546875" style="23" bestFit="1" customWidth="1"/>
    <col min="11275" max="11275" width="31.140625" style="23" customWidth="1"/>
    <col min="11276" max="11276" width="21.85546875" style="23" customWidth="1"/>
    <col min="11277" max="11277" width="14.140625" style="23" customWidth="1"/>
    <col min="11278" max="11278" width="25.7109375" style="23" customWidth="1"/>
    <col min="11279" max="11279" width="26.7109375" style="23" customWidth="1"/>
    <col min="11280" max="11280" width="58.42578125" style="23" bestFit="1" customWidth="1"/>
    <col min="11281" max="11281" width="12.42578125" style="23" customWidth="1"/>
    <col min="11282" max="11282" width="19.28515625" style="23" customWidth="1"/>
    <col min="11283" max="11283" width="16.5703125" style="23" customWidth="1"/>
    <col min="11284" max="11284" width="29" style="23" customWidth="1"/>
    <col min="11285" max="11524" width="9" style="23"/>
    <col min="11525" max="11525" width="15.28515625" style="23" customWidth="1"/>
    <col min="11526" max="11526" width="83.140625" style="23" bestFit="1" customWidth="1"/>
    <col min="11527" max="11527" width="22" style="23" customWidth="1"/>
    <col min="11528" max="11528" width="102.140625" style="23" bestFit="1" customWidth="1"/>
    <col min="11529" max="11529" width="17.28515625" style="23" customWidth="1"/>
    <col min="11530" max="11530" width="29.85546875" style="23" bestFit="1" customWidth="1"/>
    <col min="11531" max="11531" width="31.140625" style="23" customWidth="1"/>
    <col min="11532" max="11532" width="21.85546875" style="23" customWidth="1"/>
    <col min="11533" max="11533" width="14.140625" style="23" customWidth="1"/>
    <col min="11534" max="11534" width="25.7109375" style="23" customWidth="1"/>
    <col min="11535" max="11535" width="26.7109375" style="23" customWidth="1"/>
    <col min="11536" max="11536" width="58.42578125" style="23" bestFit="1" customWidth="1"/>
    <col min="11537" max="11537" width="12.42578125" style="23" customWidth="1"/>
    <col min="11538" max="11538" width="19.28515625" style="23" customWidth="1"/>
    <col min="11539" max="11539" width="16.5703125" style="23" customWidth="1"/>
    <col min="11540" max="11540" width="29" style="23" customWidth="1"/>
    <col min="11541" max="11780" width="9" style="23"/>
    <col min="11781" max="11781" width="15.28515625" style="23" customWidth="1"/>
    <col min="11782" max="11782" width="83.140625" style="23" bestFit="1" customWidth="1"/>
    <col min="11783" max="11783" width="22" style="23" customWidth="1"/>
    <col min="11784" max="11784" width="102.140625" style="23" bestFit="1" customWidth="1"/>
    <col min="11785" max="11785" width="17.28515625" style="23" customWidth="1"/>
    <col min="11786" max="11786" width="29.85546875" style="23" bestFit="1" customWidth="1"/>
    <col min="11787" max="11787" width="31.140625" style="23" customWidth="1"/>
    <col min="11788" max="11788" width="21.85546875" style="23" customWidth="1"/>
    <col min="11789" max="11789" width="14.140625" style="23" customWidth="1"/>
    <col min="11790" max="11790" width="25.7109375" style="23" customWidth="1"/>
    <col min="11791" max="11791" width="26.7109375" style="23" customWidth="1"/>
    <col min="11792" max="11792" width="58.42578125" style="23" bestFit="1" customWidth="1"/>
    <col min="11793" max="11793" width="12.42578125" style="23" customWidth="1"/>
    <col min="11794" max="11794" width="19.28515625" style="23" customWidth="1"/>
    <col min="11795" max="11795" width="16.5703125" style="23" customWidth="1"/>
    <col min="11796" max="11796" width="29" style="23" customWidth="1"/>
    <col min="11797" max="12036" width="9" style="23"/>
    <col min="12037" max="12037" width="15.28515625" style="23" customWidth="1"/>
    <col min="12038" max="12038" width="83.140625" style="23" bestFit="1" customWidth="1"/>
    <col min="12039" max="12039" width="22" style="23" customWidth="1"/>
    <col min="12040" max="12040" width="102.140625" style="23" bestFit="1" customWidth="1"/>
    <col min="12041" max="12041" width="17.28515625" style="23" customWidth="1"/>
    <col min="12042" max="12042" width="29.85546875" style="23" bestFit="1" customWidth="1"/>
    <col min="12043" max="12043" width="31.140625" style="23" customWidth="1"/>
    <col min="12044" max="12044" width="21.85546875" style="23" customWidth="1"/>
    <col min="12045" max="12045" width="14.140625" style="23" customWidth="1"/>
    <col min="12046" max="12046" width="25.7109375" style="23" customWidth="1"/>
    <col min="12047" max="12047" width="26.7109375" style="23" customWidth="1"/>
    <col min="12048" max="12048" width="58.42578125" style="23" bestFit="1" customWidth="1"/>
    <col min="12049" max="12049" width="12.42578125" style="23" customWidth="1"/>
    <col min="12050" max="12050" width="19.28515625" style="23" customWidth="1"/>
    <col min="12051" max="12051" width="16.5703125" style="23" customWidth="1"/>
    <col min="12052" max="12052" width="29" style="23" customWidth="1"/>
    <col min="12053" max="12292" width="9" style="23"/>
    <col min="12293" max="12293" width="15.28515625" style="23" customWidth="1"/>
    <col min="12294" max="12294" width="83.140625" style="23" bestFit="1" customWidth="1"/>
    <col min="12295" max="12295" width="22" style="23" customWidth="1"/>
    <col min="12296" max="12296" width="102.140625" style="23" bestFit="1" customWidth="1"/>
    <col min="12297" max="12297" width="17.28515625" style="23" customWidth="1"/>
    <col min="12298" max="12298" width="29.85546875" style="23" bestFit="1" customWidth="1"/>
    <col min="12299" max="12299" width="31.140625" style="23" customWidth="1"/>
    <col min="12300" max="12300" width="21.85546875" style="23" customWidth="1"/>
    <col min="12301" max="12301" width="14.140625" style="23" customWidth="1"/>
    <col min="12302" max="12302" width="25.7109375" style="23" customWidth="1"/>
    <col min="12303" max="12303" width="26.7109375" style="23" customWidth="1"/>
    <col min="12304" max="12304" width="58.42578125" style="23" bestFit="1" customWidth="1"/>
    <col min="12305" max="12305" width="12.42578125" style="23" customWidth="1"/>
    <col min="12306" max="12306" width="19.28515625" style="23" customWidth="1"/>
    <col min="12307" max="12307" width="16.5703125" style="23" customWidth="1"/>
    <col min="12308" max="12308" width="29" style="23" customWidth="1"/>
    <col min="12309" max="12548" width="9" style="23"/>
    <col min="12549" max="12549" width="15.28515625" style="23" customWidth="1"/>
    <col min="12550" max="12550" width="83.140625" style="23" bestFit="1" customWidth="1"/>
    <col min="12551" max="12551" width="22" style="23" customWidth="1"/>
    <col min="12552" max="12552" width="102.140625" style="23" bestFit="1" customWidth="1"/>
    <col min="12553" max="12553" width="17.28515625" style="23" customWidth="1"/>
    <col min="12554" max="12554" width="29.85546875" style="23" bestFit="1" customWidth="1"/>
    <col min="12555" max="12555" width="31.140625" style="23" customWidth="1"/>
    <col min="12556" max="12556" width="21.85546875" style="23" customWidth="1"/>
    <col min="12557" max="12557" width="14.140625" style="23" customWidth="1"/>
    <col min="12558" max="12558" width="25.7109375" style="23" customWidth="1"/>
    <col min="12559" max="12559" width="26.7109375" style="23" customWidth="1"/>
    <col min="12560" max="12560" width="58.42578125" style="23" bestFit="1" customWidth="1"/>
    <col min="12561" max="12561" width="12.42578125" style="23" customWidth="1"/>
    <col min="12562" max="12562" width="19.28515625" style="23" customWidth="1"/>
    <col min="12563" max="12563" width="16.5703125" style="23" customWidth="1"/>
    <col min="12564" max="12564" width="29" style="23" customWidth="1"/>
    <col min="12565" max="12804" width="9" style="23"/>
    <col min="12805" max="12805" width="15.28515625" style="23" customWidth="1"/>
    <col min="12806" max="12806" width="83.140625" style="23" bestFit="1" customWidth="1"/>
    <col min="12807" max="12807" width="22" style="23" customWidth="1"/>
    <col min="12808" max="12808" width="102.140625" style="23" bestFit="1" customWidth="1"/>
    <col min="12809" max="12809" width="17.28515625" style="23" customWidth="1"/>
    <col min="12810" max="12810" width="29.85546875" style="23" bestFit="1" customWidth="1"/>
    <col min="12811" max="12811" width="31.140625" style="23" customWidth="1"/>
    <col min="12812" max="12812" width="21.85546875" style="23" customWidth="1"/>
    <col min="12813" max="12813" width="14.140625" style="23" customWidth="1"/>
    <col min="12814" max="12814" width="25.7109375" style="23" customWidth="1"/>
    <col min="12815" max="12815" width="26.7109375" style="23" customWidth="1"/>
    <col min="12816" max="12816" width="58.42578125" style="23" bestFit="1" customWidth="1"/>
    <col min="12817" max="12817" width="12.42578125" style="23" customWidth="1"/>
    <col min="12818" max="12818" width="19.28515625" style="23" customWidth="1"/>
    <col min="12819" max="12819" width="16.5703125" style="23" customWidth="1"/>
    <col min="12820" max="12820" width="29" style="23" customWidth="1"/>
    <col min="12821" max="13060" width="9" style="23"/>
    <col min="13061" max="13061" width="15.28515625" style="23" customWidth="1"/>
    <col min="13062" max="13062" width="83.140625" style="23" bestFit="1" customWidth="1"/>
    <col min="13063" max="13063" width="22" style="23" customWidth="1"/>
    <col min="13064" max="13064" width="102.140625" style="23" bestFit="1" customWidth="1"/>
    <col min="13065" max="13065" width="17.28515625" style="23" customWidth="1"/>
    <col min="13066" max="13066" width="29.85546875" style="23" bestFit="1" customWidth="1"/>
    <col min="13067" max="13067" width="31.140625" style="23" customWidth="1"/>
    <col min="13068" max="13068" width="21.85546875" style="23" customWidth="1"/>
    <col min="13069" max="13069" width="14.140625" style="23" customWidth="1"/>
    <col min="13070" max="13070" width="25.7109375" style="23" customWidth="1"/>
    <col min="13071" max="13071" width="26.7109375" style="23" customWidth="1"/>
    <col min="13072" max="13072" width="58.42578125" style="23" bestFit="1" customWidth="1"/>
    <col min="13073" max="13073" width="12.42578125" style="23" customWidth="1"/>
    <col min="13074" max="13074" width="19.28515625" style="23" customWidth="1"/>
    <col min="13075" max="13075" width="16.5703125" style="23" customWidth="1"/>
    <col min="13076" max="13076" width="29" style="23" customWidth="1"/>
    <col min="13077" max="13316" width="9" style="23"/>
    <col min="13317" max="13317" width="15.28515625" style="23" customWidth="1"/>
    <col min="13318" max="13318" width="83.140625" style="23" bestFit="1" customWidth="1"/>
    <col min="13319" max="13319" width="22" style="23" customWidth="1"/>
    <col min="13320" max="13320" width="102.140625" style="23" bestFit="1" customWidth="1"/>
    <col min="13321" max="13321" width="17.28515625" style="23" customWidth="1"/>
    <col min="13322" max="13322" width="29.85546875" style="23" bestFit="1" customWidth="1"/>
    <col min="13323" max="13323" width="31.140625" style="23" customWidth="1"/>
    <col min="13324" max="13324" width="21.85546875" style="23" customWidth="1"/>
    <col min="13325" max="13325" width="14.140625" style="23" customWidth="1"/>
    <col min="13326" max="13326" width="25.7109375" style="23" customWidth="1"/>
    <col min="13327" max="13327" width="26.7109375" style="23" customWidth="1"/>
    <col min="13328" max="13328" width="58.42578125" style="23" bestFit="1" customWidth="1"/>
    <col min="13329" max="13329" width="12.42578125" style="23" customWidth="1"/>
    <col min="13330" max="13330" width="19.28515625" style="23" customWidth="1"/>
    <col min="13331" max="13331" width="16.5703125" style="23" customWidth="1"/>
    <col min="13332" max="13332" width="29" style="23" customWidth="1"/>
    <col min="13333" max="13572" width="9" style="23"/>
    <col min="13573" max="13573" width="15.28515625" style="23" customWidth="1"/>
    <col min="13574" max="13574" width="83.140625" style="23" bestFit="1" customWidth="1"/>
    <col min="13575" max="13575" width="22" style="23" customWidth="1"/>
    <col min="13576" max="13576" width="102.140625" style="23" bestFit="1" customWidth="1"/>
    <col min="13577" max="13577" width="17.28515625" style="23" customWidth="1"/>
    <col min="13578" max="13578" width="29.85546875" style="23" bestFit="1" customWidth="1"/>
    <col min="13579" max="13579" width="31.140625" style="23" customWidth="1"/>
    <col min="13580" max="13580" width="21.85546875" style="23" customWidth="1"/>
    <col min="13581" max="13581" width="14.140625" style="23" customWidth="1"/>
    <col min="13582" max="13582" width="25.7109375" style="23" customWidth="1"/>
    <col min="13583" max="13583" width="26.7109375" style="23" customWidth="1"/>
    <col min="13584" max="13584" width="58.42578125" style="23" bestFit="1" customWidth="1"/>
    <col min="13585" max="13585" width="12.42578125" style="23" customWidth="1"/>
    <col min="13586" max="13586" width="19.28515625" style="23" customWidth="1"/>
    <col min="13587" max="13587" width="16.5703125" style="23" customWidth="1"/>
    <col min="13588" max="13588" width="29" style="23" customWidth="1"/>
    <col min="13589" max="13828" width="9" style="23"/>
    <col min="13829" max="13829" width="15.28515625" style="23" customWidth="1"/>
    <col min="13830" max="13830" width="83.140625" style="23" bestFit="1" customWidth="1"/>
    <col min="13831" max="13831" width="22" style="23" customWidth="1"/>
    <col min="13832" max="13832" width="102.140625" style="23" bestFit="1" customWidth="1"/>
    <col min="13833" max="13833" width="17.28515625" style="23" customWidth="1"/>
    <col min="13834" max="13834" width="29.85546875" style="23" bestFit="1" customWidth="1"/>
    <col min="13835" max="13835" width="31.140625" style="23" customWidth="1"/>
    <col min="13836" max="13836" width="21.85546875" style="23" customWidth="1"/>
    <col min="13837" max="13837" width="14.140625" style="23" customWidth="1"/>
    <col min="13838" max="13838" width="25.7109375" style="23" customWidth="1"/>
    <col min="13839" max="13839" width="26.7109375" style="23" customWidth="1"/>
    <col min="13840" max="13840" width="58.42578125" style="23" bestFit="1" customWidth="1"/>
    <col min="13841" max="13841" width="12.42578125" style="23" customWidth="1"/>
    <col min="13842" max="13842" width="19.28515625" style="23" customWidth="1"/>
    <col min="13843" max="13843" width="16.5703125" style="23" customWidth="1"/>
    <col min="13844" max="13844" width="29" style="23" customWidth="1"/>
    <col min="13845" max="14084" width="9" style="23"/>
    <col min="14085" max="14085" width="15.28515625" style="23" customWidth="1"/>
    <col min="14086" max="14086" width="83.140625" style="23" bestFit="1" customWidth="1"/>
    <col min="14087" max="14087" width="22" style="23" customWidth="1"/>
    <col min="14088" max="14088" width="102.140625" style="23" bestFit="1" customWidth="1"/>
    <col min="14089" max="14089" width="17.28515625" style="23" customWidth="1"/>
    <col min="14090" max="14090" width="29.85546875" style="23" bestFit="1" customWidth="1"/>
    <col min="14091" max="14091" width="31.140625" style="23" customWidth="1"/>
    <col min="14092" max="14092" width="21.85546875" style="23" customWidth="1"/>
    <col min="14093" max="14093" width="14.140625" style="23" customWidth="1"/>
    <col min="14094" max="14094" width="25.7109375" style="23" customWidth="1"/>
    <col min="14095" max="14095" width="26.7109375" style="23" customWidth="1"/>
    <col min="14096" max="14096" width="58.42578125" style="23" bestFit="1" customWidth="1"/>
    <col min="14097" max="14097" width="12.42578125" style="23" customWidth="1"/>
    <col min="14098" max="14098" width="19.28515625" style="23" customWidth="1"/>
    <col min="14099" max="14099" width="16.5703125" style="23" customWidth="1"/>
    <col min="14100" max="14100" width="29" style="23" customWidth="1"/>
    <col min="14101" max="14340" width="9" style="23"/>
    <col min="14341" max="14341" width="15.28515625" style="23" customWidth="1"/>
    <col min="14342" max="14342" width="83.140625" style="23" bestFit="1" customWidth="1"/>
    <col min="14343" max="14343" width="22" style="23" customWidth="1"/>
    <col min="14344" max="14344" width="102.140625" style="23" bestFit="1" customWidth="1"/>
    <col min="14345" max="14345" width="17.28515625" style="23" customWidth="1"/>
    <col min="14346" max="14346" width="29.85546875" style="23" bestFit="1" customWidth="1"/>
    <col min="14347" max="14347" width="31.140625" style="23" customWidth="1"/>
    <col min="14348" max="14348" width="21.85546875" style="23" customWidth="1"/>
    <col min="14349" max="14349" width="14.140625" style="23" customWidth="1"/>
    <col min="14350" max="14350" width="25.7109375" style="23" customWidth="1"/>
    <col min="14351" max="14351" width="26.7109375" style="23" customWidth="1"/>
    <col min="14352" max="14352" width="58.42578125" style="23" bestFit="1" customWidth="1"/>
    <col min="14353" max="14353" width="12.42578125" style="23" customWidth="1"/>
    <col min="14354" max="14354" width="19.28515625" style="23" customWidth="1"/>
    <col min="14355" max="14355" width="16.5703125" style="23" customWidth="1"/>
    <col min="14356" max="14356" width="29" style="23" customWidth="1"/>
    <col min="14357" max="14596" width="9" style="23"/>
    <col min="14597" max="14597" width="15.28515625" style="23" customWidth="1"/>
    <col min="14598" max="14598" width="83.140625" style="23" bestFit="1" customWidth="1"/>
    <col min="14599" max="14599" width="22" style="23" customWidth="1"/>
    <col min="14600" max="14600" width="102.140625" style="23" bestFit="1" customWidth="1"/>
    <col min="14601" max="14601" width="17.28515625" style="23" customWidth="1"/>
    <col min="14602" max="14602" width="29.85546875" style="23" bestFit="1" customWidth="1"/>
    <col min="14603" max="14603" width="31.140625" style="23" customWidth="1"/>
    <col min="14604" max="14604" width="21.85546875" style="23" customWidth="1"/>
    <col min="14605" max="14605" width="14.140625" style="23" customWidth="1"/>
    <col min="14606" max="14606" width="25.7109375" style="23" customWidth="1"/>
    <col min="14607" max="14607" width="26.7109375" style="23" customWidth="1"/>
    <col min="14608" max="14608" width="58.42578125" style="23" bestFit="1" customWidth="1"/>
    <col min="14609" max="14609" width="12.42578125" style="23" customWidth="1"/>
    <col min="14610" max="14610" width="19.28515625" style="23" customWidth="1"/>
    <col min="14611" max="14611" width="16.5703125" style="23" customWidth="1"/>
    <col min="14612" max="14612" width="29" style="23" customWidth="1"/>
    <col min="14613" max="14852" width="9" style="23"/>
    <col min="14853" max="14853" width="15.28515625" style="23" customWidth="1"/>
    <col min="14854" max="14854" width="83.140625" style="23" bestFit="1" customWidth="1"/>
    <col min="14855" max="14855" width="22" style="23" customWidth="1"/>
    <col min="14856" max="14856" width="102.140625" style="23" bestFit="1" customWidth="1"/>
    <col min="14857" max="14857" width="17.28515625" style="23" customWidth="1"/>
    <col min="14858" max="14858" width="29.85546875" style="23" bestFit="1" customWidth="1"/>
    <col min="14859" max="14859" width="31.140625" style="23" customWidth="1"/>
    <col min="14860" max="14860" width="21.85546875" style="23" customWidth="1"/>
    <col min="14861" max="14861" width="14.140625" style="23" customWidth="1"/>
    <col min="14862" max="14862" width="25.7109375" style="23" customWidth="1"/>
    <col min="14863" max="14863" width="26.7109375" style="23" customWidth="1"/>
    <col min="14864" max="14864" width="58.42578125" style="23" bestFit="1" customWidth="1"/>
    <col min="14865" max="14865" width="12.42578125" style="23" customWidth="1"/>
    <col min="14866" max="14866" width="19.28515625" style="23" customWidth="1"/>
    <col min="14867" max="14867" width="16.5703125" style="23" customWidth="1"/>
    <col min="14868" max="14868" width="29" style="23" customWidth="1"/>
    <col min="14869" max="15108" width="9" style="23"/>
    <col min="15109" max="15109" width="15.28515625" style="23" customWidth="1"/>
    <col min="15110" max="15110" width="83.140625" style="23" bestFit="1" customWidth="1"/>
    <col min="15111" max="15111" width="22" style="23" customWidth="1"/>
    <col min="15112" max="15112" width="102.140625" style="23" bestFit="1" customWidth="1"/>
    <col min="15113" max="15113" width="17.28515625" style="23" customWidth="1"/>
    <col min="15114" max="15114" width="29.85546875" style="23" bestFit="1" customWidth="1"/>
    <col min="15115" max="15115" width="31.140625" style="23" customWidth="1"/>
    <col min="15116" max="15116" width="21.85546875" style="23" customWidth="1"/>
    <col min="15117" max="15117" width="14.140625" style="23" customWidth="1"/>
    <col min="15118" max="15118" width="25.7109375" style="23" customWidth="1"/>
    <col min="15119" max="15119" width="26.7109375" style="23" customWidth="1"/>
    <col min="15120" max="15120" width="58.42578125" style="23" bestFit="1" customWidth="1"/>
    <col min="15121" max="15121" width="12.42578125" style="23" customWidth="1"/>
    <col min="15122" max="15122" width="19.28515625" style="23" customWidth="1"/>
    <col min="15123" max="15123" width="16.5703125" style="23" customWidth="1"/>
    <col min="15124" max="15124" width="29" style="23" customWidth="1"/>
    <col min="15125" max="15364" width="9" style="23"/>
    <col min="15365" max="15365" width="15.28515625" style="23" customWidth="1"/>
    <col min="15366" max="15366" width="83.140625" style="23" bestFit="1" customWidth="1"/>
    <col min="15367" max="15367" width="22" style="23" customWidth="1"/>
    <col min="15368" max="15368" width="102.140625" style="23" bestFit="1" customWidth="1"/>
    <col min="15369" max="15369" width="17.28515625" style="23" customWidth="1"/>
    <col min="15370" max="15370" width="29.85546875" style="23" bestFit="1" customWidth="1"/>
    <col min="15371" max="15371" width="31.140625" style="23" customWidth="1"/>
    <col min="15372" max="15372" width="21.85546875" style="23" customWidth="1"/>
    <col min="15373" max="15373" width="14.140625" style="23" customWidth="1"/>
    <col min="15374" max="15374" width="25.7109375" style="23" customWidth="1"/>
    <col min="15375" max="15375" width="26.7109375" style="23" customWidth="1"/>
    <col min="15376" max="15376" width="58.42578125" style="23" bestFit="1" customWidth="1"/>
    <col min="15377" max="15377" width="12.42578125" style="23" customWidth="1"/>
    <col min="15378" max="15378" width="19.28515625" style="23" customWidth="1"/>
    <col min="15379" max="15379" width="16.5703125" style="23" customWidth="1"/>
    <col min="15380" max="15380" width="29" style="23" customWidth="1"/>
    <col min="15381" max="15620" width="9" style="23"/>
    <col min="15621" max="15621" width="15.28515625" style="23" customWidth="1"/>
    <col min="15622" max="15622" width="83.140625" style="23" bestFit="1" customWidth="1"/>
    <col min="15623" max="15623" width="22" style="23" customWidth="1"/>
    <col min="15624" max="15624" width="102.140625" style="23" bestFit="1" customWidth="1"/>
    <col min="15625" max="15625" width="17.28515625" style="23" customWidth="1"/>
    <col min="15626" max="15626" width="29.85546875" style="23" bestFit="1" customWidth="1"/>
    <col min="15627" max="15627" width="31.140625" style="23" customWidth="1"/>
    <col min="15628" max="15628" width="21.85546875" style="23" customWidth="1"/>
    <col min="15629" max="15629" width="14.140625" style="23" customWidth="1"/>
    <col min="15630" max="15630" width="25.7109375" style="23" customWidth="1"/>
    <col min="15631" max="15631" width="26.7109375" style="23" customWidth="1"/>
    <col min="15632" max="15632" width="58.42578125" style="23" bestFit="1" customWidth="1"/>
    <col min="15633" max="15633" width="12.42578125" style="23" customWidth="1"/>
    <col min="15634" max="15634" width="19.28515625" style="23" customWidth="1"/>
    <col min="15635" max="15635" width="16.5703125" style="23" customWidth="1"/>
    <col min="15636" max="15636" width="29" style="23" customWidth="1"/>
    <col min="15637" max="15876" width="9" style="23"/>
    <col min="15877" max="15877" width="15.28515625" style="23" customWidth="1"/>
    <col min="15878" max="15878" width="83.140625" style="23" bestFit="1" customWidth="1"/>
    <col min="15879" max="15879" width="22" style="23" customWidth="1"/>
    <col min="15880" max="15880" width="102.140625" style="23" bestFit="1" customWidth="1"/>
    <col min="15881" max="15881" width="17.28515625" style="23" customWidth="1"/>
    <col min="15882" max="15882" width="29.85546875" style="23" bestFit="1" customWidth="1"/>
    <col min="15883" max="15883" width="31.140625" style="23" customWidth="1"/>
    <col min="15884" max="15884" width="21.85546875" style="23" customWidth="1"/>
    <col min="15885" max="15885" width="14.140625" style="23" customWidth="1"/>
    <col min="15886" max="15886" width="25.7109375" style="23" customWidth="1"/>
    <col min="15887" max="15887" width="26.7109375" style="23" customWidth="1"/>
    <col min="15888" max="15888" width="58.42578125" style="23" bestFit="1" customWidth="1"/>
    <col min="15889" max="15889" width="12.42578125" style="23" customWidth="1"/>
    <col min="15890" max="15890" width="19.28515625" style="23" customWidth="1"/>
    <col min="15891" max="15891" width="16.5703125" style="23" customWidth="1"/>
    <col min="15892" max="15892" width="29" style="23" customWidth="1"/>
    <col min="15893" max="16132" width="9" style="23"/>
    <col min="16133" max="16133" width="15.28515625" style="23" customWidth="1"/>
    <col min="16134" max="16134" width="83.140625" style="23" bestFit="1" customWidth="1"/>
    <col min="16135" max="16135" width="22" style="23" customWidth="1"/>
    <col min="16136" max="16136" width="102.140625" style="23" bestFit="1" customWidth="1"/>
    <col min="16137" max="16137" width="17.28515625" style="23" customWidth="1"/>
    <col min="16138" max="16138" width="29.85546875" style="23" bestFit="1" customWidth="1"/>
    <col min="16139" max="16139" width="31.140625" style="23" customWidth="1"/>
    <col min="16140" max="16140" width="21.85546875" style="23" customWidth="1"/>
    <col min="16141" max="16141" width="14.140625" style="23" customWidth="1"/>
    <col min="16142" max="16142" width="25.7109375" style="23" customWidth="1"/>
    <col min="16143" max="16143" width="26.7109375" style="23" customWidth="1"/>
    <col min="16144" max="16144" width="58.42578125" style="23" bestFit="1" customWidth="1"/>
    <col min="16145" max="16145" width="12.42578125" style="23" customWidth="1"/>
    <col min="16146" max="16146" width="19.28515625" style="23" customWidth="1"/>
    <col min="16147" max="16147" width="16.5703125" style="23" customWidth="1"/>
    <col min="16148" max="16148" width="29" style="23" customWidth="1"/>
    <col min="16149" max="16384" width="9" style="23"/>
  </cols>
  <sheetData>
    <row r="1" spans="1:24" s="7" customFormat="1" x14ac:dyDescent="0.25">
      <c r="C1" s="230"/>
      <c r="D1" s="230"/>
      <c r="E1" s="230"/>
      <c r="F1" s="31"/>
      <c r="G1" s="154"/>
      <c r="H1" s="31"/>
      <c r="M1" s="212"/>
      <c r="N1" s="217"/>
      <c r="S1" s="212"/>
      <c r="T1" s="584"/>
      <c r="U1" s="217"/>
      <c r="V1" s="217"/>
    </row>
    <row r="2" spans="1:24" s="7" customFormat="1" ht="5.25" customHeight="1" x14ac:dyDescent="0.25">
      <c r="A2" s="211" t="s">
        <v>74</v>
      </c>
      <c r="B2" s="211"/>
      <c r="C2" s="231"/>
      <c r="D2" s="231"/>
      <c r="E2" s="231"/>
      <c r="F2" s="211"/>
      <c r="G2" s="238"/>
      <c r="H2" s="211"/>
      <c r="I2" s="211"/>
      <c r="J2" s="211"/>
      <c r="K2" s="211"/>
      <c r="L2" s="211"/>
      <c r="M2" s="412"/>
      <c r="N2" s="412"/>
      <c r="S2" s="212"/>
      <c r="T2" s="584"/>
      <c r="U2" s="217"/>
      <c r="V2" s="217"/>
    </row>
    <row r="3" spans="1:24" s="7" customFormat="1" hidden="1" x14ac:dyDescent="0.25">
      <c r="C3" s="230"/>
      <c r="D3" s="230"/>
      <c r="E3" s="230"/>
      <c r="F3" s="31"/>
      <c r="G3" s="154"/>
      <c r="H3" s="31"/>
      <c r="M3" s="212"/>
      <c r="N3" s="217"/>
      <c r="S3" s="212"/>
      <c r="T3" s="584"/>
      <c r="U3" s="217"/>
      <c r="V3" s="217"/>
    </row>
    <row r="4" spans="1:24" s="109" customFormat="1" ht="51.75" customHeight="1" x14ac:dyDescent="0.25">
      <c r="A4" s="105" t="s">
        <v>4</v>
      </c>
      <c r="B4" s="105" t="s">
        <v>51</v>
      </c>
      <c r="C4" s="105" t="s">
        <v>52</v>
      </c>
      <c r="D4" s="105" t="s">
        <v>471</v>
      </c>
      <c r="E4" s="105"/>
      <c r="F4" s="106" t="s">
        <v>53</v>
      </c>
      <c r="G4" s="105" t="s">
        <v>54</v>
      </c>
      <c r="H4" s="106" t="s">
        <v>55</v>
      </c>
      <c r="I4" s="105" t="s">
        <v>56</v>
      </c>
      <c r="J4" s="105" t="s">
        <v>57</v>
      </c>
      <c r="K4" s="107" t="s">
        <v>58</v>
      </c>
      <c r="L4" s="105" t="s">
        <v>59</v>
      </c>
      <c r="M4" s="416" t="s">
        <v>75</v>
      </c>
      <c r="N4" s="413" t="s">
        <v>61</v>
      </c>
      <c r="O4" s="105" t="s">
        <v>62</v>
      </c>
      <c r="P4" s="107" t="s">
        <v>138</v>
      </c>
      <c r="Q4" s="107" t="s">
        <v>64</v>
      </c>
      <c r="R4" s="107" t="s">
        <v>41</v>
      </c>
      <c r="S4" s="213" t="s">
        <v>382</v>
      </c>
      <c r="T4" s="585" t="s">
        <v>139</v>
      </c>
      <c r="U4" s="427" t="s">
        <v>140</v>
      </c>
      <c r="V4" s="218" t="s">
        <v>143</v>
      </c>
      <c r="W4" s="111" t="s">
        <v>159</v>
      </c>
      <c r="X4" s="109" t="s">
        <v>565</v>
      </c>
    </row>
    <row r="5" spans="1:24" s="7" customFormat="1" ht="47.25" x14ac:dyDescent="0.25">
      <c r="A5" s="5">
        <v>1</v>
      </c>
      <c r="B5" s="6" t="s">
        <v>76</v>
      </c>
      <c r="C5" s="232" t="s">
        <v>77</v>
      </c>
      <c r="D5" s="232"/>
      <c r="E5" s="232"/>
      <c r="F5" s="39" t="s">
        <v>78</v>
      </c>
      <c r="G5" s="155" t="s">
        <v>79</v>
      </c>
      <c r="H5" s="37" t="s">
        <v>80</v>
      </c>
      <c r="I5" s="9" t="s">
        <v>81</v>
      </c>
      <c r="J5" s="10" t="s">
        <v>82</v>
      </c>
      <c r="K5" s="10" t="s">
        <v>83</v>
      </c>
      <c r="L5" s="10" t="s">
        <v>72</v>
      </c>
      <c r="M5" s="214">
        <v>2828000</v>
      </c>
      <c r="N5" s="376">
        <v>0.35</v>
      </c>
      <c r="O5" s="21" t="s">
        <v>84</v>
      </c>
      <c r="P5" s="29" t="s">
        <v>85</v>
      </c>
      <c r="Q5" s="10" t="s">
        <v>86</v>
      </c>
      <c r="R5" s="10"/>
      <c r="S5" s="214">
        <v>900000</v>
      </c>
      <c r="T5" s="38"/>
      <c r="U5" s="214">
        <f>(M5-3000*36)*0.68</f>
        <v>1849600.0000000002</v>
      </c>
      <c r="V5" s="219">
        <f t="shared" ref="V5:V13" si="0">U5-S5</f>
        <v>949600.00000000023</v>
      </c>
      <c r="W5" s="132">
        <f t="shared" ref="W5:W11" si="1">N5</f>
        <v>0.35</v>
      </c>
    </row>
    <row r="6" spans="1:24" s="7" customFormat="1" ht="53.25" customHeight="1" x14ac:dyDescent="0.25">
      <c r="A6" s="5">
        <v>2</v>
      </c>
      <c r="B6" s="6" t="s">
        <v>87</v>
      </c>
      <c r="C6" s="233" t="s">
        <v>88</v>
      </c>
      <c r="D6" s="233"/>
      <c r="E6" s="233"/>
      <c r="F6" s="25" t="s">
        <v>89</v>
      </c>
      <c r="G6" s="148" t="s">
        <v>90</v>
      </c>
      <c r="H6" s="25" t="s">
        <v>91</v>
      </c>
      <c r="I6" s="12" t="s">
        <v>92</v>
      </c>
      <c r="J6" s="10" t="s">
        <v>93</v>
      </c>
      <c r="K6" s="10" t="s">
        <v>94</v>
      </c>
      <c r="L6" s="19" t="s">
        <v>72</v>
      </c>
      <c r="M6" s="214">
        <v>2643000</v>
      </c>
      <c r="N6" s="376">
        <v>2907300</v>
      </c>
      <c r="O6" s="21" t="s">
        <v>95</v>
      </c>
      <c r="P6" s="22">
        <v>44470</v>
      </c>
      <c r="Q6" s="10" t="s">
        <v>86</v>
      </c>
      <c r="R6" s="10"/>
      <c r="S6" s="214">
        <v>450000</v>
      </c>
      <c r="T6" s="38"/>
      <c r="U6" s="214">
        <f>(M6-3000*36)*0.68</f>
        <v>1723800.0000000002</v>
      </c>
      <c r="V6" s="219">
        <f t="shared" si="0"/>
        <v>1273800.0000000002</v>
      </c>
      <c r="W6" s="132">
        <f t="shared" si="1"/>
        <v>2907300</v>
      </c>
    </row>
    <row r="7" spans="1:24" ht="50.25" customHeight="1" x14ac:dyDescent="0.25">
      <c r="A7" s="5">
        <v>3</v>
      </c>
      <c r="B7" s="6" t="s">
        <v>96</v>
      </c>
      <c r="C7" s="196" t="s">
        <v>97</v>
      </c>
      <c r="D7" s="196"/>
      <c r="E7" s="196"/>
      <c r="F7" s="15" t="s">
        <v>98</v>
      </c>
      <c r="G7" s="156" t="s">
        <v>99</v>
      </c>
      <c r="H7" s="16" t="s">
        <v>100</v>
      </c>
      <c r="I7" s="17" t="s">
        <v>101</v>
      </c>
      <c r="J7" s="18" t="s">
        <v>102</v>
      </c>
      <c r="K7" s="18" t="s">
        <v>94</v>
      </c>
      <c r="L7" s="19" t="s">
        <v>103</v>
      </c>
      <c r="M7" s="214">
        <v>1992000</v>
      </c>
      <c r="N7" s="414">
        <f>2191200-600000</f>
        <v>1591200</v>
      </c>
      <c r="O7" s="21" t="s">
        <v>104</v>
      </c>
      <c r="P7" s="22">
        <v>44112</v>
      </c>
      <c r="Q7" s="19" t="s">
        <v>105</v>
      </c>
      <c r="R7" s="19"/>
      <c r="S7" s="214">
        <v>600000</v>
      </c>
      <c r="T7" s="26" t="s">
        <v>106</v>
      </c>
      <c r="U7" s="214">
        <f>(M7-3000*24)*0.68</f>
        <v>1305600</v>
      </c>
      <c r="V7" s="219">
        <f t="shared" si="0"/>
        <v>705600</v>
      </c>
      <c r="W7" s="132">
        <f t="shared" si="1"/>
        <v>1591200</v>
      </c>
    </row>
    <row r="8" spans="1:24" ht="31.5" x14ac:dyDescent="0.25">
      <c r="A8" s="5">
        <v>4</v>
      </c>
      <c r="B8" s="6" t="s">
        <v>107</v>
      </c>
      <c r="C8" s="195" t="s">
        <v>108</v>
      </c>
      <c r="D8" s="195"/>
      <c r="E8" s="195"/>
      <c r="F8" s="15" t="s">
        <v>109</v>
      </c>
      <c r="G8" s="104" t="s">
        <v>110</v>
      </c>
      <c r="H8" s="15" t="s">
        <v>111</v>
      </c>
      <c r="I8" s="18" t="s">
        <v>112</v>
      </c>
      <c r="J8" s="18" t="s">
        <v>113</v>
      </c>
      <c r="K8" s="18" t="s">
        <v>83</v>
      </c>
      <c r="L8" s="19" t="s">
        <v>114</v>
      </c>
      <c r="M8" s="214">
        <v>1161000</v>
      </c>
      <c r="N8" s="414">
        <v>1827100</v>
      </c>
      <c r="O8" s="21" t="s">
        <v>115</v>
      </c>
      <c r="P8" s="22">
        <v>43745</v>
      </c>
      <c r="Q8" s="19" t="s">
        <v>116</v>
      </c>
      <c r="R8" s="19"/>
      <c r="S8" s="214">
        <v>0</v>
      </c>
      <c r="T8" s="26"/>
      <c r="U8" s="214">
        <f>(M8-3000*12)*0.68</f>
        <v>765000</v>
      </c>
      <c r="V8" s="219">
        <f t="shared" si="0"/>
        <v>765000</v>
      </c>
      <c r="W8" s="132">
        <f t="shared" si="1"/>
        <v>1827100</v>
      </c>
    </row>
    <row r="9" spans="1:24" ht="63" x14ac:dyDescent="0.25">
      <c r="A9" s="5">
        <v>5</v>
      </c>
      <c r="B9" s="24">
        <v>43396</v>
      </c>
      <c r="C9" s="195" t="s">
        <v>117</v>
      </c>
      <c r="D9" s="195"/>
      <c r="E9" s="195"/>
      <c r="F9" s="25" t="s">
        <v>118</v>
      </c>
      <c r="G9" s="156" t="s">
        <v>119</v>
      </c>
      <c r="H9" s="16" t="s">
        <v>120</v>
      </c>
      <c r="I9" s="9" t="s">
        <v>121</v>
      </c>
      <c r="J9" s="10" t="s">
        <v>122</v>
      </c>
      <c r="K9" s="18" t="s">
        <v>94</v>
      </c>
      <c r="L9" s="26" t="s">
        <v>103</v>
      </c>
      <c r="M9" s="214">
        <v>1992000</v>
      </c>
      <c r="N9" s="214">
        <v>2191200</v>
      </c>
      <c r="O9" s="21" t="s">
        <v>104</v>
      </c>
      <c r="P9" s="22">
        <v>44127</v>
      </c>
      <c r="Q9" s="19" t="s">
        <v>123</v>
      </c>
      <c r="R9" s="19"/>
      <c r="S9" s="214">
        <v>0</v>
      </c>
      <c r="T9" s="26"/>
      <c r="U9" s="214">
        <f t="shared" ref="U9:U14" si="2">(M9-3000*24)*0.68</f>
        <v>1305600</v>
      </c>
      <c r="V9" s="219">
        <f t="shared" si="0"/>
        <v>1305600</v>
      </c>
      <c r="W9" s="132">
        <f t="shared" si="1"/>
        <v>2191200</v>
      </c>
    </row>
    <row r="10" spans="1:24" ht="63" x14ac:dyDescent="0.25">
      <c r="A10" s="5">
        <v>6</v>
      </c>
      <c r="B10" s="22">
        <v>43445</v>
      </c>
      <c r="C10" s="233" t="s">
        <v>175</v>
      </c>
      <c r="D10" s="233"/>
      <c r="E10" s="233"/>
      <c r="F10" s="153" t="s">
        <v>176</v>
      </c>
      <c r="G10" s="157" t="s">
        <v>177</v>
      </c>
      <c r="H10" s="101"/>
      <c r="I10" s="19" t="s">
        <v>178</v>
      </c>
      <c r="J10" s="10" t="s">
        <v>179</v>
      </c>
      <c r="K10" s="10" t="s">
        <v>180</v>
      </c>
      <c r="L10" s="19" t="s">
        <v>72</v>
      </c>
      <c r="M10" s="214">
        <v>2828000</v>
      </c>
      <c r="N10" s="220">
        <v>3110800</v>
      </c>
      <c r="O10" s="21" t="s">
        <v>181</v>
      </c>
      <c r="P10" s="22">
        <v>44541</v>
      </c>
      <c r="Q10" s="19" t="s">
        <v>182</v>
      </c>
      <c r="R10" s="19"/>
      <c r="S10" s="214"/>
      <c r="T10" s="26"/>
      <c r="U10" s="214">
        <f t="shared" si="2"/>
        <v>1874080.0000000002</v>
      </c>
      <c r="V10" s="219">
        <f t="shared" si="0"/>
        <v>1874080.0000000002</v>
      </c>
      <c r="W10" s="132">
        <f t="shared" si="1"/>
        <v>3110800</v>
      </c>
    </row>
    <row r="11" spans="1:24" ht="63" x14ac:dyDescent="0.25">
      <c r="A11" s="5">
        <v>7</v>
      </c>
      <c r="B11" s="122">
        <v>43445</v>
      </c>
      <c r="C11" s="196" t="s">
        <v>183</v>
      </c>
      <c r="D11" s="196"/>
      <c r="E11" s="196"/>
      <c r="F11" s="25" t="s">
        <v>184</v>
      </c>
      <c r="G11" s="156" t="s">
        <v>177</v>
      </c>
      <c r="H11" s="29"/>
      <c r="I11" s="19" t="s">
        <v>178</v>
      </c>
      <c r="J11" s="10" t="s">
        <v>179</v>
      </c>
      <c r="K11" s="10" t="s">
        <v>180</v>
      </c>
      <c r="L11" s="19" t="s">
        <v>72</v>
      </c>
      <c r="M11" s="214">
        <v>2828000</v>
      </c>
      <c r="N11" s="220">
        <v>3110800</v>
      </c>
      <c r="O11" s="21" t="s">
        <v>185</v>
      </c>
      <c r="P11" s="22">
        <v>44541</v>
      </c>
      <c r="Q11" s="19" t="s">
        <v>182</v>
      </c>
      <c r="R11" s="19"/>
      <c r="S11" s="214"/>
      <c r="T11" s="26"/>
      <c r="U11" s="214">
        <f t="shared" si="2"/>
        <v>1874080.0000000002</v>
      </c>
      <c r="V11" s="219">
        <f t="shared" si="0"/>
        <v>1874080.0000000002</v>
      </c>
      <c r="W11" s="132">
        <f t="shared" si="1"/>
        <v>3110800</v>
      </c>
    </row>
    <row r="12" spans="1:24" ht="47.25" x14ac:dyDescent="0.25">
      <c r="A12" s="5">
        <v>8</v>
      </c>
      <c r="B12" s="10" t="s">
        <v>224</v>
      </c>
      <c r="C12" s="195" t="s">
        <v>225</v>
      </c>
      <c r="D12" s="195"/>
      <c r="E12" s="195"/>
      <c r="F12" s="15" t="s">
        <v>232</v>
      </c>
      <c r="G12" s="134" t="s">
        <v>226</v>
      </c>
      <c r="H12" s="29"/>
      <c r="I12" s="172" t="s">
        <v>227</v>
      </c>
      <c r="J12" s="10"/>
      <c r="K12" s="10" t="s">
        <v>228</v>
      </c>
      <c r="L12" s="26" t="s">
        <v>229</v>
      </c>
      <c r="M12" s="214">
        <v>1161000</v>
      </c>
      <c r="N12" s="214">
        <v>1277100</v>
      </c>
      <c r="O12" s="10"/>
      <c r="P12" s="19"/>
      <c r="Q12" s="19" t="s">
        <v>230</v>
      </c>
      <c r="R12" s="165">
        <v>0.4</v>
      </c>
      <c r="S12" s="214">
        <f>(M12-3000*12)*0.4</f>
        <v>450000</v>
      </c>
      <c r="T12" s="26"/>
      <c r="U12" s="220">
        <f t="shared" si="2"/>
        <v>740520</v>
      </c>
      <c r="V12" s="220">
        <f t="shared" si="0"/>
        <v>290520</v>
      </c>
      <c r="W12" s="19">
        <v>1277100</v>
      </c>
    </row>
    <row r="13" spans="1:24" ht="63" x14ac:dyDescent="0.25">
      <c r="A13" s="5">
        <v>9</v>
      </c>
      <c r="B13" s="10" t="s">
        <v>224</v>
      </c>
      <c r="C13" s="196" t="s">
        <v>231</v>
      </c>
      <c r="D13" s="196"/>
      <c r="E13" s="196"/>
      <c r="F13" s="15">
        <v>2700835664</v>
      </c>
      <c r="G13" s="156" t="s">
        <v>233</v>
      </c>
      <c r="H13" s="29" t="s">
        <v>234</v>
      </c>
      <c r="I13" s="152" t="s">
        <v>235</v>
      </c>
      <c r="J13" s="10"/>
      <c r="K13" s="10" t="s">
        <v>83</v>
      </c>
      <c r="L13" s="26" t="s">
        <v>114</v>
      </c>
      <c r="M13" s="214">
        <v>1161000</v>
      </c>
      <c r="N13" s="214">
        <v>1827100</v>
      </c>
      <c r="O13" s="10"/>
      <c r="P13" s="19"/>
      <c r="Q13" s="19"/>
      <c r="R13" s="19"/>
      <c r="S13" s="214">
        <f>(M13-300*24)*0.4</f>
        <v>461520</v>
      </c>
      <c r="T13" s="26"/>
      <c r="U13" s="220">
        <f t="shared" si="2"/>
        <v>740520</v>
      </c>
      <c r="V13" s="219">
        <f t="shared" si="0"/>
        <v>279000</v>
      </c>
      <c r="W13" s="19">
        <v>1827100</v>
      </c>
    </row>
    <row r="14" spans="1:24" ht="78.75" x14ac:dyDescent="0.25">
      <c r="A14" s="5">
        <v>10</v>
      </c>
      <c r="B14" s="122">
        <v>43416</v>
      </c>
      <c r="C14" s="234" t="s">
        <v>256</v>
      </c>
      <c r="D14" s="234"/>
      <c r="E14" s="234"/>
      <c r="F14" s="175" t="s">
        <v>239</v>
      </c>
      <c r="G14" s="157" t="s">
        <v>240</v>
      </c>
      <c r="H14" s="175" t="s">
        <v>241</v>
      </c>
      <c r="I14" s="176" t="s">
        <v>242</v>
      </c>
      <c r="J14" s="10"/>
      <c r="K14" s="10" t="s">
        <v>228</v>
      </c>
      <c r="L14" s="10" t="s">
        <v>114</v>
      </c>
      <c r="M14" s="214">
        <v>1161000</v>
      </c>
      <c r="N14" s="214">
        <v>1200000</v>
      </c>
      <c r="O14" s="10"/>
      <c r="P14" s="19" t="s">
        <v>243</v>
      </c>
      <c r="Q14" s="19"/>
      <c r="R14" s="19"/>
      <c r="S14" s="214">
        <f>(M14-300*12)*0.4</f>
        <v>462960</v>
      </c>
      <c r="T14" s="26"/>
      <c r="U14" s="220">
        <f t="shared" si="2"/>
        <v>740520</v>
      </c>
      <c r="V14" s="219">
        <f>U14-S14-77100</f>
        <v>200460</v>
      </c>
      <c r="W14" s="19" t="s">
        <v>368</v>
      </c>
    </row>
    <row r="15" spans="1:24" ht="47.25" x14ac:dyDescent="0.25">
      <c r="A15" s="5">
        <v>11</v>
      </c>
      <c r="B15" s="122">
        <v>43416</v>
      </c>
      <c r="C15" s="234" t="s">
        <v>244</v>
      </c>
      <c r="D15" s="234"/>
      <c r="E15" s="234"/>
      <c r="F15" s="175" t="s">
        <v>288</v>
      </c>
      <c r="G15" s="157" t="s">
        <v>293</v>
      </c>
      <c r="H15" s="29" t="s">
        <v>290</v>
      </c>
      <c r="I15" s="208" t="s">
        <v>291</v>
      </c>
      <c r="J15" s="10"/>
      <c r="K15" s="10" t="s">
        <v>180</v>
      </c>
      <c r="L15" s="10" t="s">
        <v>72</v>
      </c>
      <c r="M15" s="214">
        <v>2828000</v>
      </c>
      <c r="N15" s="214">
        <v>1200000</v>
      </c>
      <c r="O15" s="10"/>
      <c r="P15" s="19" t="s">
        <v>2539</v>
      </c>
      <c r="Q15" s="19"/>
      <c r="R15" s="19"/>
      <c r="S15" s="214">
        <f>(M15-300*12)*0.4</f>
        <v>1129760</v>
      </c>
      <c r="T15" s="26"/>
      <c r="U15" s="220">
        <f>(M15-3000*12)*0.68</f>
        <v>1898560.0000000002</v>
      </c>
      <c r="V15" s="219">
        <f t="shared" ref="V15:V30" si="3">U15-S15</f>
        <v>768800.00000000023</v>
      </c>
      <c r="W15" s="19" t="s">
        <v>222</v>
      </c>
    </row>
    <row r="16" spans="1:24" ht="31.5" x14ac:dyDescent="0.25">
      <c r="A16" s="5">
        <v>12</v>
      </c>
      <c r="B16" s="10" t="s">
        <v>257</v>
      </c>
      <c r="C16" s="234" t="s">
        <v>262</v>
      </c>
      <c r="D16" s="234" t="s">
        <v>457</v>
      </c>
      <c r="E16" s="234"/>
      <c r="F16" s="29" t="s">
        <v>258</v>
      </c>
      <c r="G16" s="157" t="s">
        <v>259</v>
      </c>
      <c r="H16" s="29" t="s">
        <v>260</v>
      </c>
      <c r="I16" s="208" t="s">
        <v>261</v>
      </c>
      <c r="J16" s="10"/>
      <c r="K16" s="10" t="s">
        <v>180</v>
      </c>
      <c r="L16" s="10" t="s">
        <v>72</v>
      </c>
      <c r="M16" s="214">
        <v>2828000</v>
      </c>
      <c r="N16" s="214">
        <v>3110800</v>
      </c>
      <c r="O16" s="10"/>
      <c r="P16" s="19" t="s">
        <v>2540</v>
      </c>
      <c r="Q16" s="19"/>
      <c r="R16" s="19"/>
      <c r="S16" s="214">
        <f>(M16-300*36)*0.4</f>
        <v>1126880</v>
      </c>
      <c r="T16" s="26"/>
      <c r="U16" s="220">
        <f>(M16-3000*36)*0.68</f>
        <v>1849600.0000000002</v>
      </c>
      <c r="V16" s="219">
        <f t="shared" si="3"/>
        <v>722720.00000000023</v>
      </c>
      <c r="W16" s="26">
        <v>3110800</v>
      </c>
    </row>
    <row r="17" spans="1:27" s="217" customFormat="1" ht="63" x14ac:dyDescent="0.25">
      <c r="A17" s="486">
        <v>13</v>
      </c>
      <c r="B17" s="220" t="s">
        <v>279</v>
      </c>
      <c r="C17" s="240" t="s">
        <v>341</v>
      </c>
      <c r="D17" s="240"/>
      <c r="E17" s="240"/>
      <c r="F17" s="244" t="s">
        <v>285</v>
      </c>
      <c r="G17" s="242" t="s">
        <v>283</v>
      </c>
      <c r="H17" s="244" t="s">
        <v>284</v>
      </c>
      <c r="I17" s="220" t="s">
        <v>286</v>
      </c>
      <c r="J17" s="220"/>
      <c r="K17" s="220" t="s">
        <v>228</v>
      </c>
      <c r="L17" s="220" t="s">
        <v>114</v>
      </c>
      <c r="M17" s="214">
        <v>1161000</v>
      </c>
      <c r="N17" s="214">
        <v>1277100</v>
      </c>
      <c r="O17" s="220"/>
      <c r="P17" s="19"/>
      <c r="Q17" s="220"/>
      <c r="R17" s="220"/>
      <c r="S17" s="214">
        <f>(M17-300*12)*0.4</f>
        <v>462960</v>
      </c>
      <c r="T17" s="376"/>
      <c r="U17" s="220">
        <f>(M17-3000*12)*0.68</f>
        <v>765000</v>
      </c>
      <c r="V17" s="220">
        <f t="shared" si="3"/>
        <v>302040</v>
      </c>
      <c r="W17" s="220" t="s">
        <v>222</v>
      </c>
    </row>
    <row r="18" spans="1:27" ht="63" x14ac:dyDescent="0.25">
      <c r="A18" s="5">
        <v>14</v>
      </c>
      <c r="B18" s="10" t="s">
        <v>294</v>
      </c>
      <c r="C18" s="234" t="s">
        <v>295</v>
      </c>
      <c r="D18" s="234"/>
      <c r="E18" s="234"/>
      <c r="F18" s="29" t="s">
        <v>296</v>
      </c>
      <c r="G18" s="157" t="s">
        <v>297</v>
      </c>
      <c r="H18" s="29" t="s">
        <v>298</v>
      </c>
      <c r="I18" s="10"/>
      <c r="J18" s="10"/>
      <c r="K18" s="10" t="s">
        <v>180</v>
      </c>
      <c r="L18" s="10" t="s">
        <v>103</v>
      </c>
      <c r="M18" s="214">
        <v>1992000</v>
      </c>
      <c r="N18" s="376">
        <v>2741200</v>
      </c>
      <c r="O18" s="10"/>
      <c r="P18" s="19" t="s">
        <v>2541</v>
      </c>
      <c r="Q18" s="19"/>
      <c r="R18" s="19"/>
      <c r="S18" s="214">
        <f>(M18-300*24)*0.5</f>
        <v>992400</v>
      </c>
      <c r="T18" s="26"/>
      <c r="U18" s="220">
        <f>(M18-3000*24)*0.68</f>
        <v>1305600</v>
      </c>
      <c r="V18" s="220">
        <f t="shared" si="3"/>
        <v>313200</v>
      </c>
      <c r="W18" s="19" t="s">
        <v>222</v>
      </c>
    </row>
    <row r="19" spans="1:27" ht="63" x14ac:dyDescent="0.25">
      <c r="A19" s="19">
        <v>15</v>
      </c>
      <c r="B19" s="10" t="s">
        <v>310</v>
      </c>
      <c r="C19" s="234" t="s">
        <v>311</v>
      </c>
      <c r="D19" s="234"/>
      <c r="E19" s="234"/>
      <c r="F19" s="29" t="s">
        <v>312</v>
      </c>
      <c r="G19" s="157" t="s">
        <v>313</v>
      </c>
      <c r="H19" s="29" t="s">
        <v>314</v>
      </c>
      <c r="I19" s="208" t="s">
        <v>315</v>
      </c>
      <c r="J19" s="10"/>
      <c r="K19" s="10" t="s">
        <v>94</v>
      </c>
      <c r="L19" s="10" t="s">
        <v>72</v>
      </c>
      <c r="M19" s="214">
        <v>2643000</v>
      </c>
      <c r="N19" s="214">
        <v>2907300</v>
      </c>
      <c r="O19" s="10"/>
      <c r="P19" s="19" t="s">
        <v>2542</v>
      </c>
      <c r="Q19" s="19"/>
      <c r="R19" s="19"/>
      <c r="S19" s="214">
        <f>(M19-300*36)*0.4</f>
        <v>1052880</v>
      </c>
      <c r="T19" s="26"/>
      <c r="U19" s="220">
        <f>(M19-3000*36)*0.68</f>
        <v>1723800.0000000002</v>
      </c>
      <c r="V19" s="220">
        <f t="shared" si="3"/>
        <v>670920.00000000023</v>
      </c>
      <c r="W19" s="19" t="s">
        <v>222</v>
      </c>
    </row>
    <row r="20" spans="1:27" ht="63" x14ac:dyDescent="0.25">
      <c r="A20" s="19">
        <v>16</v>
      </c>
      <c r="B20" s="10" t="s">
        <v>310</v>
      </c>
      <c r="C20" s="234" t="s">
        <v>316</v>
      </c>
      <c r="D20" s="234"/>
      <c r="E20" s="234"/>
      <c r="F20" s="29" t="s">
        <v>317</v>
      </c>
      <c r="G20" s="157" t="s">
        <v>318</v>
      </c>
      <c r="H20" s="29" t="s">
        <v>319</v>
      </c>
      <c r="I20" s="208" t="s">
        <v>320</v>
      </c>
      <c r="J20" s="10"/>
      <c r="K20" s="10" t="s">
        <v>83</v>
      </c>
      <c r="L20" s="10" t="s">
        <v>72</v>
      </c>
      <c r="M20" s="214">
        <v>2643000</v>
      </c>
      <c r="N20" s="214">
        <v>2907300</v>
      </c>
      <c r="O20" s="10"/>
      <c r="P20" s="19" t="s">
        <v>321</v>
      </c>
      <c r="Q20" s="19"/>
      <c r="R20" s="19"/>
      <c r="S20" s="214">
        <v>1000000</v>
      </c>
      <c r="T20" s="26"/>
      <c r="U20" s="220">
        <f>(M20-3000*24)*0.68</f>
        <v>1748280.0000000002</v>
      </c>
      <c r="V20" s="220">
        <f t="shared" si="3"/>
        <v>748280.00000000023</v>
      </c>
      <c r="W20" s="19" t="s">
        <v>222</v>
      </c>
    </row>
    <row r="21" spans="1:27" ht="63" x14ac:dyDescent="0.25">
      <c r="A21" s="19">
        <v>17</v>
      </c>
      <c r="B21" s="10" t="s">
        <v>310</v>
      </c>
      <c r="C21" s="234" t="s">
        <v>335</v>
      </c>
      <c r="D21" s="234"/>
      <c r="E21" s="234"/>
      <c r="F21" s="29" t="s">
        <v>337</v>
      </c>
      <c r="G21" s="157" t="s">
        <v>336</v>
      </c>
      <c r="H21" s="29" t="s">
        <v>338</v>
      </c>
      <c r="I21" s="10" t="s">
        <v>339</v>
      </c>
      <c r="J21" s="10"/>
      <c r="K21" s="10" t="s">
        <v>83</v>
      </c>
      <c r="L21" s="10" t="s">
        <v>114</v>
      </c>
      <c r="M21" s="214">
        <v>1161000</v>
      </c>
      <c r="N21" s="214">
        <v>1827100</v>
      </c>
      <c r="O21" s="10"/>
      <c r="P21" s="26" t="s">
        <v>340</v>
      </c>
      <c r="Q21" s="19"/>
      <c r="R21" s="19"/>
      <c r="S21" s="214">
        <v>200000</v>
      </c>
      <c r="T21" s="26"/>
      <c r="U21" s="220">
        <f>(M21-3000*12)*0.68</f>
        <v>765000</v>
      </c>
      <c r="V21" s="220">
        <f t="shared" si="3"/>
        <v>565000</v>
      </c>
      <c r="W21" s="19">
        <v>1627100</v>
      </c>
    </row>
    <row r="22" spans="1:27" s="7" customFormat="1" ht="47.25" x14ac:dyDescent="0.25">
      <c r="A22" s="10">
        <v>18</v>
      </c>
      <c r="B22" s="122">
        <v>43497</v>
      </c>
      <c r="C22" s="240" t="s">
        <v>364</v>
      </c>
      <c r="D22" s="234" t="s">
        <v>472</v>
      </c>
      <c r="E22" s="234"/>
      <c r="F22" s="175" t="s">
        <v>366</v>
      </c>
      <c r="G22" s="157" t="s">
        <v>365</v>
      </c>
      <c r="H22" s="29" t="s">
        <v>309</v>
      </c>
      <c r="I22" s="10"/>
      <c r="J22" s="10"/>
      <c r="K22" s="10" t="s">
        <v>367</v>
      </c>
      <c r="L22" s="10" t="s">
        <v>114</v>
      </c>
      <c r="M22" s="214">
        <v>1161000</v>
      </c>
      <c r="N22" s="214">
        <v>1277100</v>
      </c>
      <c r="O22" s="10"/>
      <c r="P22" s="122">
        <v>43466</v>
      </c>
      <c r="Q22" s="10"/>
      <c r="R22" s="10"/>
      <c r="S22" s="214">
        <f>(M22-3000*12)*0.4</f>
        <v>450000</v>
      </c>
      <c r="T22" s="38"/>
      <c r="U22" s="220">
        <f>(M22-3000*12)*0.68</f>
        <v>765000</v>
      </c>
      <c r="V22" s="220">
        <f t="shared" si="3"/>
        <v>315000</v>
      </c>
      <c r="W22" s="10" t="s">
        <v>222</v>
      </c>
    </row>
    <row r="23" spans="1:27" s="7" customFormat="1" ht="47.25" x14ac:dyDescent="0.25">
      <c r="A23" s="10">
        <v>19</v>
      </c>
      <c r="B23" s="122">
        <v>43525</v>
      </c>
      <c r="C23" s="240" t="s">
        <v>374</v>
      </c>
      <c r="D23" s="234" t="s">
        <v>473</v>
      </c>
      <c r="E23" s="234"/>
      <c r="F23" s="175" t="s">
        <v>369</v>
      </c>
      <c r="G23" s="157" t="s">
        <v>370</v>
      </c>
      <c r="H23" s="29" t="s">
        <v>371</v>
      </c>
      <c r="I23" s="208" t="s">
        <v>372</v>
      </c>
      <c r="J23" s="10" t="s">
        <v>373</v>
      </c>
      <c r="K23" s="10" t="s">
        <v>83</v>
      </c>
      <c r="L23" s="10" t="s">
        <v>114</v>
      </c>
      <c r="M23" s="214">
        <v>1161000</v>
      </c>
      <c r="N23" s="214">
        <v>1827100</v>
      </c>
      <c r="O23" s="10"/>
      <c r="P23" s="122">
        <v>43891</v>
      </c>
      <c r="Q23" s="10"/>
      <c r="R23" s="98">
        <v>0.4</v>
      </c>
      <c r="S23" s="214">
        <f>(M23-3000*12)*0.4</f>
        <v>450000</v>
      </c>
      <c r="T23" s="38"/>
      <c r="U23" s="220">
        <f>(M23-3000*12)*0.68</f>
        <v>765000</v>
      </c>
      <c r="V23" s="220">
        <f t="shared" si="3"/>
        <v>315000</v>
      </c>
      <c r="W23" s="10" t="s">
        <v>368</v>
      </c>
    </row>
    <row r="24" spans="1:27" s="7" customFormat="1" ht="63" x14ac:dyDescent="0.25">
      <c r="A24" s="10">
        <v>20</v>
      </c>
      <c r="B24" s="122">
        <v>43525</v>
      </c>
      <c r="C24" s="240" t="s">
        <v>375</v>
      </c>
      <c r="D24" s="234" t="s">
        <v>474</v>
      </c>
      <c r="E24" s="234"/>
      <c r="F24" s="175" t="s">
        <v>376</v>
      </c>
      <c r="G24" s="157" t="s">
        <v>377</v>
      </c>
      <c r="H24" s="175" t="s">
        <v>378</v>
      </c>
      <c r="I24" s="208" t="s">
        <v>217</v>
      </c>
      <c r="J24" s="10" t="s">
        <v>379</v>
      </c>
      <c r="K24" s="10" t="s">
        <v>83</v>
      </c>
      <c r="L24" s="10" t="s">
        <v>114</v>
      </c>
      <c r="M24" s="214">
        <v>1161000</v>
      </c>
      <c r="N24" s="214">
        <v>1827100</v>
      </c>
      <c r="O24" s="10"/>
      <c r="P24" s="122">
        <v>43891</v>
      </c>
      <c r="Q24" s="10"/>
      <c r="R24" s="10"/>
      <c r="S24" s="214">
        <v>627000</v>
      </c>
      <c r="T24" s="38"/>
      <c r="U24" s="220">
        <f>(M24-3000*12)*0.68</f>
        <v>765000</v>
      </c>
      <c r="V24" s="220">
        <f t="shared" si="3"/>
        <v>138000</v>
      </c>
      <c r="W24" s="10" t="s">
        <v>222</v>
      </c>
    </row>
    <row r="25" spans="1:27" s="7" customFormat="1" ht="51.75" customHeight="1" x14ac:dyDescent="0.25">
      <c r="A25" s="10">
        <v>21</v>
      </c>
      <c r="B25" s="122">
        <v>43525</v>
      </c>
      <c r="C25" s="240" t="s">
        <v>403</v>
      </c>
      <c r="D25" s="234" t="s">
        <v>475</v>
      </c>
      <c r="E25" s="234"/>
      <c r="F25" s="175" t="s">
        <v>380</v>
      </c>
      <c r="G25" s="157"/>
      <c r="H25" s="175"/>
      <c r="I25" s="208"/>
      <c r="J25" s="10"/>
      <c r="K25" s="10" t="s">
        <v>367</v>
      </c>
      <c r="L25" s="10" t="s">
        <v>72</v>
      </c>
      <c r="M25" s="214">
        <v>2643000</v>
      </c>
      <c r="N25" s="214">
        <v>2907300</v>
      </c>
      <c r="O25" s="10"/>
      <c r="P25" s="122" t="s">
        <v>381</v>
      </c>
      <c r="Q25" s="10"/>
      <c r="R25" s="98">
        <v>0.4</v>
      </c>
      <c r="S25" s="214">
        <f>(M25-3000*36)*0.4</f>
        <v>1014000</v>
      </c>
      <c r="T25" s="38"/>
      <c r="U25" s="220">
        <f t="shared" ref="U25:U30" si="4">(M25-3000*36)*0.68</f>
        <v>1723800.0000000002</v>
      </c>
      <c r="V25" s="220">
        <f t="shared" si="3"/>
        <v>709800.00000000023</v>
      </c>
      <c r="W25" s="10" t="s">
        <v>368</v>
      </c>
    </row>
    <row r="26" spans="1:27" s="7" customFormat="1" ht="47.25" x14ac:dyDescent="0.25">
      <c r="A26" s="10">
        <v>22</v>
      </c>
      <c r="B26" s="122">
        <v>43556</v>
      </c>
      <c r="C26" s="240" t="s">
        <v>383</v>
      </c>
      <c r="D26" s="234" t="s">
        <v>476</v>
      </c>
      <c r="E26" s="234"/>
      <c r="F26" s="175" t="s">
        <v>384</v>
      </c>
      <c r="G26" s="157" t="s">
        <v>385</v>
      </c>
      <c r="H26" s="236" t="s">
        <v>386</v>
      </c>
      <c r="I26" s="208" t="s">
        <v>387</v>
      </c>
      <c r="J26" s="10" t="s">
        <v>388</v>
      </c>
      <c r="K26" s="10" t="s">
        <v>83</v>
      </c>
      <c r="L26" s="10" t="s">
        <v>72</v>
      </c>
      <c r="M26" s="214">
        <v>2828000</v>
      </c>
      <c r="N26" s="214">
        <v>3110800</v>
      </c>
      <c r="O26" s="10"/>
      <c r="P26" s="122"/>
      <c r="Q26" s="10"/>
      <c r="R26" s="98">
        <v>0.2</v>
      </c>
      <c r="S26" s="214">
        <f>(M26-3000*36)*0.2</f>
        <v>544000</v>
      </c>
      <c r="T26" s="38"/>
      <c r="U26" s="220">
        <f t="shared" si="4"/>
        <v>1849600.0000000002</v>
      </c>
      <c r="V26" s="220">
        <f t="shared" si="3"/>
        <v>1305600.0000000002</v>
      </c>
      <c r="W26" s="10" t="s">
        <v>222</v>
      </c>
      <c r="AA26" s="7">
        <f>3110-620</f>
        <v>2490</v>
      </c>
    </row>
    <row r="27" spans="1:27" s="7" customFormat="1" ht="47.25" x14ac:dyDescent="0.25">
      <c r="A27" s="10">
        <v>23</v>
      </c>
      <c r="B27" s="122">
        <v>43556</v>
      </c>
      <c r="C27" s="240" t="s">
        <v>383</v>
      </c>
      <c r="D27" s="234" t="s">
        <v>476</v>
      </c>
      <c r="E27" s="234"/>
      <c r="F27" s="175" t="s">
        <v>384</v>
      </c>
      <c r="G27" s="157" t="s">
        <v>385</v>
      </c>
      <c r="H27" s="236" t="s">
        <v>386</v>
      </c>
      <c r="I27" s="208" t="s">
        <v>387</v>
      </c>
      <c r="J27" s="10" t="s">
        <v>389</v>
      </c>
      <c r="K27" s="10" t="s">
        <v>83</v>
      </c>
      <c r="L27" s="10" t="s">
        <v>72</v>
      </c>
      <c r="M27" s="214">
        <v>2828000</v>
      </c>
      <c r="N27" s="214">
        <v>3110800</v>
      </c>
      <c r="O27" s="10"/>
      <c r="P27" s="122"/>
      <c r="Q27" s="10"/>
      <c r="R27" s="98">
        <v>0.2</v>
      </c>
      <c r="S27" s="214">
        <f>(M27-3000*36)*0.2</f>
        <v>544000</v>
      </c>
      <c r="T27" s="38"/>
      <c r="U27" s="220">
        <f t="shared" si="4"/>
        <v>1849600.0000000002</v>
      </c>
      <c r="V27" s="220">
        <f t="shared" si="3"/>
        <v>1305600.0000000002</v>
      </c>
      <c r="W27" s="10" t="s">
        <v>222</v>
      </c>
    </row>
    <row r="28" spans="1:27" s="7" customFormat="1" ht="63" x14ac:dyDescent="0.25">
      <c r="A28" s="10">
        <v>24</v>
      </c>
      <c r="B28" s="122">
        <v>43709</v>
      </c>
      <c r="C28" s="240" t="s">
        <v>441</v>
      </c>
      <c r="D28" s="234" t="s">
        <v>472</v>
      </c>
      <c r="E28" s="234"/>
      <c r="F28" s="175" t="s">
        <v>390</v>
      </c>
      <c r="G28" s="157" t="s">
        <v>391</v>
      </c>
      <c r="H28" s="175" t="s">
        <v>392</v>
      </c>
      <c r="I28" s="208" t="s">
        <v>393</v>
      </c>
      <c r="J28" s="10" t="s">
        <v>394</v>
      </c>
      <c r="K28" s="10" t="s">
        <v>83</v>
      </c>
      <c r="L28" s="10" t="s">
        <v>72</v>
      </c>
      <c r="M28" s="214">
        <v>2828000</v>
      </c>
      <c r="N28" s="214">
        <v>3110800</v>
      </c>
      <c r="O28" s="10"/>
      <c r="P28" s="122"/>
      <c r="Q28" s="10"/>
      <c r="R28" s="98">
        <v>0.4</v>
      </c>
      <c r="S28" s="214">
        <f>(M28-3000*36)*0.4</f>
        <v>1088000</v>
      </c>
      <c r="T28" s="38"/>
      <c r="U28" s="220">
        <f t="shared" si="4"/>
        <v>1849600.0000000002</v>
      </c>
      <c r="V28" s="220">
        <f t="shared" si="3"/>
        <v>761600.00000000023</v>
      </c>
      <c r="W28" s="10" t="s">
        <v>222</v>
      </c>
    </row>
    <row r="29" spans="1:27" s="7" customFormat="1" ht="31.5" x14ac:dyDescent="0.25">
      <c r="A29" s="10">
        <v>25</v>
      </c>
      <c r="B29" s="122">
        <v>43770</v>
      </c>
      <c r="C29" s="240" t="s">
        <v>404</v>
      </c>
      <c r="D29" s="234" t="s">
        <v>473</v>
      </c>
      <c r="E29" s="234"/>
      <c r="F29" s="175" t="s">
        <v>400</v>
      </c>
      <c r="G29" s="157" t="s">
        <v>401</v>
      </c>
      <c r="H29" s="175"/>
      <c r="I29" s="208"/>
      <c r="J29" s="10" t="s">
        <v>402</v>
      </c>
      <c r="K29" s="10" t="s">
        <v>94</v>
      </c>
      <c r="L29" s="10" t="s">
        <v>72</v>
      </c>
      <c r="M29" s="214">
        <v>2643000</v>
      </c>
      <c r="N29" s="214">
        <v>2907300</v>
      </c>
      <c r="O29" s="10"/>
      <c r="P29" s="122"/>
      <c r="Q29" s="10"/>
      <c r="R29" s="98">
        <v>0.4</v>
      </c>
      <c r="S29" s="214">
        <f>(M29-3000*36)*0.4</f>
        <v>1014000</v>
      </c>
      <c r="T29" s="38"/>
      <c r="U29" s="220">
        <f t="shared" si="4"/>
        <v>1723800.0000000002</v>
      </c>
      <c r="V29" s="220">
        <f t="shared" si="3"/>
        <v>709800.00000000023</v>
      </c>
      <c r="W29" s="10" t="s">
        <v>445</v>
      </c>
    </row>
    <row r="30" spans="1:27" s="7" customFormat="1" ht="49.5" customHeight="1" x14ac:dyDescent="0.25">
      <c r="A30" s="10">
        <v>26</v>
      </c>
      <c r="B30" s="10" t="s">
        <v>418</v>
      </c>
      <c r="C30" s="240" t="s">
        <v>440</v>
      </c>
      <c r="D30" s="234" t="s">
        <v>475</v>
      </c>
      <c r="E30" s="234"/>
      <c r="F30" s="29" t="s">
        <v>405</v>
      </c>
      <c r="G30" s="157" t="s">
        <v>406</v>
      </c>
      <c r="H30" s="29" t="s">
        <v>407</v>
      </c>
      <c r="I30" s="208" t="s">
        <v>408</v>
      </c>
      <c r="J30" s="10" t="s">
        <v>409</v>
      </c>
      <c r="K30" s="10" t="s">
        <v>83</v>
      </c>
      <c r="L30" s="10" t="s">
        <v>72</v>
      </c>
      <c r="M30" s="214">
        <v>2828000</v>
      </c>
      <c r="N30" s="214">
        <v>3110800</v>
      </c>
      <c r="O30" s="10"/>
      <c r="P30" s="10"/>
      <c r="Q30" s="10"/>
      <c r="R30" s="98">
        <v>0.5</v>
      </c>
      <c r="S30" s="214">
        <f>(M30-3000*36)*0.5</f>
        <v>1360000</v>
      </c>
      <c r="T30" s="38"/>
      <c r="U30" s="220">
        <f t="shared" si="4"/>
        <v>1849600.0000000002</v>
      </c>
      <c r="V30" s="220">
        <f t="shared" si="3"/>
        <v>489600.00000000023</v>
      </c>
      <c r="W30" s="10" t="s">
        <v>222</v>
      </c>
    </row>
    <row r="31" spans="1:27" s="7" customFormat="1" ht="47.25" x14ac:dyDescent="0.25">
      <c r="A31" s="10">
        <v>27</v>
      </c>
      <c r="B31" s="122" t="s">
        <v>417</v>
      </c>
      <c r="C31" s="240" t="s">
        <v>421</v>
      </c>
      <c r="D31" s="234" t="s">
        <v>477</v>
      </c>
      <c r="E31" s="234"/>
      <c r="F31" s="175" t="s">
        <v>419</v>
      </c>
      <c r="G31" s="157" t="s">
        <v>420</v>
      </c>
      <c r="H31" s="175" t="s">
        <v>422</v>
      </c>
      <c r="I31" s="208" t="s">
        <v>423</v>
      </c>
      <c r="J31" s="10" t="s">
        <v>424</v>
      </c>
      <c r="K31" s="10" t="s">
        <v>94</v>
      </c>
      <c r="L31" s="10" t="s">
        <v>114</v>
      </c>
      <c r="M31" s="214">
        <v>1161000</v>
      </c>
      <c r="N31" s="214">
        <v>1277100</v>
      </c>
      <c r="O31" s="10"/>
      <c r="P31" s="122" t="s">
        <v>425</v>
      </c>
      <c r="Q31" s="10"/>
      <c r="R31" s="98" t="s">
        <v>428</v>
      </c>
      <c r="S31" s="214">
        <f>(M31-3000*12)*0.4</f>
        <v>450000</v>
      </c>
      <c r="T31" s="38"/>
      <c r="U31" s="220">
        <f>(M31-3000*12)*0.68</f>
        <v>765000</v>
      </c>
      <c r="V31" s="219">
        <f>U31-S31-150000</f>
        <v>165000</v>
      </c>
      <c r="W31" s="10" t="s">
        <v>222</v>
      </c>
    </row>
    <row r="32" spans="1:27" s="7" customFormat="1" ht="47.25" x14ac:dyDescent="0.25">
      <c r="A32" s="10">
        <v>28</v>
      </c>
      <c r="B32" s="122" t="s">
        <v>417</v>
      </c>
      <c r="C32" s="240" t="s">
        <v>439</v>
      </c>
      <c r="D32" s="234" t="s">
        <v>472</v>
      </c>
      <c r="E32" s="234"/>
      <c r="F32" s="175" t="s">
        <v>426</v>
      </c>
      <c r="G32" s="157" t="s">
        <v>427</v>
      </c>
      <c r="H32" s="175" t="s">
        <v>309</v>
      </c>
      <c r="I32" s="208"/>
      <c r="J32" s="10"/>
      <c r="K32" s="10" t="s">
        <v>83</v>
      </c>
      <c r="L32" s="10" t="s">
        <v>72</v>
      </c>
      <c r="M32" s="214">
        <v>2828000</v>
      </c>
      <c r="N32" s="214">
        <v>3110800</v>
      </c>
      <c r="O32" s="10"/>
      <c r="P32" s="122"/>
      <c r="Q32" s="10"/>
      <c r="R32" s="98"/>
      <c r="S32" s="214">
        <v>1110800</v>
      </c>
      <c r="T32" s="38"/>
      <c r="U32" s="220">
        <f t="shared" ref="U32:U45" si="5">(M32-3000*36)*0.68</f>
        <v>1849600.0000000002</v>
      </c>
      <c r="V32" s="220">
        <f t="shared" ref="V32:V45" si="6">U32-S32</f>
        <v>738800.00000000023</v>
      </c>
      <c r="W32" s="10" t="s">
        <v>222</v>
      </c>
    </row>
    <row r="33" spans="1:25" s="7" customFormat="1" ht="47.25" x14ac:dyDescent="0.25">
      <c r="A33" s="10">
        <v>29</v>
      </c>
      <c r="B33" s="122" t="s">
        <v>417</v>
      </c>
      <c r="C33" s="240" t="s">
        <v>438</v>
      </c>
      <c r="D33" s="234" t="s">
        <v>478</v>
      </c>
      <c r="E33" s="234"/>
      <c r="F33" s="175" t="s">
        <v>429</v>
      </c>
      <c r="G33" s="157" t="s">
        <v>430</v>
      </c>
      <c r="H33" s="175" t="s">
        <v>432</v>
      </c>
      <c r="I33" s="208" t="s">
        <v>431</v>
      </c>
      <c r="J33" s="10" t="s">
        <v>433</v>
      </c>
      <c r="K33" s="10" t="s">
        <v>94</v>
      </c>
      <c r="L33" s="10" t="s">
        <v>72</v>
      </c>
      <c r="M33" s="214">
        <v>2643000</v>
      </c>
      <c r="N33" s="214">
        <v>2907300</v>
      </c>
      <c r="O33" s="10"/>
      <c r="P33" s="122"/>
      <c r="Q33" s="10"/>
      <c r="R33" s="98"/>
      <c r="S33" s="214">
        <v>1007300</v>
      </c>
      <c r="T33" s="38"/>
      <c r="U33" s="220">
        <f t="shared" si="5"/>
        <v>1723800.0000000002</v>
      </c>
      <c r="V33" s="220">
        <f t="shared" si="6"/>
        <v>716500.00000000023</v>
      </c>
      <c r="W33" s="10" t="s">
        <v>222</v>
      </c>
    </row>
    <row r="34" spans="1:25" s="7" customFormat="1" ht="31.5" x14ac:dyDescent="0.25">
      <c r="A34" s="10">
        <v>30</v>
      </c>
      <c r="B34" s="122" t="s">
        <v>434</v>
      </c>
      <c r="C34" s="240" t="s">
        <v>437</v>
      </c>
      <c r="D34" s="234" t="s">
        <v>475</v>
      </c>
      <c r="E34" s="234"/>
      <c r="F34" s="175" t="s">
        <v>435</v>
      </c>
      <c r="G34" s="157" t="s">
        <v>436</v>
      </c>
      <c r="H34" s="175" t="s">
        <v>407</v>
      </c>
      <c r="I34" s="208" t="s">
        <v>442</v>
      </c>
      <c r="J34" s="10" t="s">
        <v>443</v>
      </c>
      <c r="K34" s="10" t="s">
        <v>180</v>
      </c>
      <c r="L34" s="10" t="s">
        <v>72</v>
      </c>
      <c r="M34" s="214">
        <v>2828000</v>
      </c>
      <c r="N34" s="214">
        <v>3110800</v>
      </c>
      <c r="O34" s="10"/>
      <c r="P34" s="122" t="s">
        <v>444</v>
      </c>
      <c r="Q34" s="10"/>
      <c r="R34" s="98">
        <v>0.5</v>
      </c>
      <c r="S34" s="214">
        <f>(M34-3000*36)*0.5</f>
        <v>1360000</v>
      </c>
      <c r="T34" s="38"/>
      <c r="U34" s="220">
        <f t="shared" si="5"/>
        <v>1849600.0000000002</v>
      </c>
      <c r="V34" s="220">
        <f t="shared" si="6"/>
        <v>489600.00000000023</v>
      </c>
      <c r="W34" s="10" t="s">
        <v>222</v>
      </c>
    </row>
    <row r="35" spans="1:25" s="7" customFormat="1" ht="47.25" x14ac:dyDescent="0.25">
      <c r="A35" s="10">
        <v>31</v>
      </c>
      <c r="B35" s="122" t="s">
        <v>453</v>
      </c>
      <c r="C35" s="240" t="s">
        <v>454</v>
      </c>
      <c r="D35" s="234" t="s">
        <v>473</v>
      </c>
      <c r="E35" s="234"/>
      <c r="F35" s="175" t="s">
        <v>455</v>
      </c>
      <c r="G35" s="157" t="s">
        <v>456</v>
      </c>
      <c r="H35" s="175" t="s">
        <v>457</v>
      </c>
      <c r="I35" s="208"/>
      <c r="J35" s="10"/>
      <c r="K35" s="10" t="s">
        <v>94</v>
      </c>
      <c r="L35" s="10" t="s">
        <v>114</v>
      </c>
      <c r="M35" s="214">
        <v>1161000</v>
      </c>
      <c r="N35" s="214">
        <v>1277100</v>
      </c>
      <c r="O35" s="10"/>
      <c r="P35" s="122" t="s">
        <v>453</v>
      </c>
      <c r="Q35" s="10"/>
      <c r="R35" s="98">
        <v>0.4</v>
      </c>
      <c r="S35" s="214">
        <f t="shared" ref="S35:S40" si="7">(M35-3000*36)*0.4</f>
        <v>421200</v>
      </c>
      <c r="T35" s="38"/>
      <c r="U35" s="220">
        <f t="shared" si="5"/>
        <v>716040</v>
      </c>
      <c r="V35" s="220">
        <f t="shared" si="6"/>
        <v>294840</v>
      </c>
      <c r="W35" s="10" t="s">
        <v>222</v>
      </c>
    </row>
    <row r="36" spans="1:25" s="7" customFormat="1" ht="60" x14ac:dyDescent="0.25">
      <c r="A36" s="10">
        <v>32</v>
      </c>
      <c r="B36" s="122" t="s">
        <v>458</v>
      </c>
      <c r="C36" s="240" t="s">
        <v>462</v>
      </c>
      <c r="D36" s="234" t="s">
        <v>479</v>
      </c>
      <c r="E36" s="234"/>
      <c r="F36" s="175" t="s">
        <v>459</v>
      </c>
      <c r="G36" s="157" t="s">
        <v>460</v>
      </c>
      <c r="H36" s="175" t="s">
        <v>461</v>
      </c>
      <c r="I36" s="176" t="s">
        <v>463</v>
      </c>
      <c r="J36" s="10" t="s">
        <v>464</v>
      </c>
      <c r="K36" s="10" t="s">
        <v>83</v>
      </c>
      <c r="L36" s="10" t="s">
        <v>72</v>
      </c>
      <c r="M36" s="214">
        <v>2828000</v>
      </c>
      <c r="N36" s="214">
        <v>3110800</v>
      </c>
      <c r="O36" s="10"/>
      <c r="P36" s="122"/>
      <c r="Q36" s="10"/>
      <c r="R36" s="98">
        <v>0.4</v>
      </c>
      <c r="S36" s="214">
        <f t="shared" si="7"/>
        <v>1088000</v>
      </c>
      <c r="T36" s="38"/>
      <c r="U36" s="220">
        <f t="shared" si="5"/>
        <v>1849600.0000000002</v>
      </c>
      <c r="V36" s="220">
        <f t="shared" si="6"/>
        <v>761600.00000000023</v>
      </c>
      <c r="W36" s="10"/>
    </row>
    <row r="37" spans="1:25" s="7" customFormat="1" ht="47.25" x14ac:dyDescent="0.25">
      <c r="A37" s="10">
        <v>33</v>
      </c>
      <c r="B37" s="122" t="s">
        <v>458</v>
      </c>
      <c r="C37" s="240" t="s">
        <v>531</v>
      </c>
      <c r="D37" s="234" t="s">
        <v>480</v>
      </c>
      <c r="E37" s="234"/>
      <c r="F37" s="175" t="s">
        <v>465</v>
      </c>
      <c r="G37" s="157" t="s">
        <v>466</v>
      </c>
      <c r="H37" s="175" t="s">
        <v>467</v>
      </c>
      <c r="I37" s="208" t="s">
        <v>468</v>
      </c>
      <c r="J37" s="10" t="s">
        <v>469</v>
      </c>
      <c r="K37" s="10" t="s">
        <v>180</v>
      </c>
      <c r="L37" s="10" t="s">
        <v>103</v>
      </c>
      <c r="M37" s="214">
        <v>1992000</v>
      </c>
      <c r="N37" s="214">
        <v>2741200</v>
      </c>
      <c r="O37" s="10"/>
      <c r="P37" s="122" t="s">
        <v>470</v>
      </c>
      <c r="Q37" s="10"/>
      <c r="R37" s="98">
        <v>0.4</v>
      </c>
      <c r="S37" s="214">
        <f t="shared" si="7"/>
        <v>753600</v>
      </c>
      <c r="T37" s="38"/>
      <c r="U37" s="220">
        <f t="shared" si="5"/>
        <v>1281120</v>
      </c>
      <c r="V37" s="220">
        <f t="shared" si="6"/>
        <v>527520</v>
      </c>
      <c r="W37" s="10"/>
    </row>
    <row r="38" spans="1:25" s="7" customFormat="1" ht="47.25" x14ac:dyDescent="0.25">
      <c r="A38" s="10">
        <v>34</v>
      </c>
      <c r="B38" s="122" t="s">
        <v>458</v>
      </c>
      <c r="C38" s="240" t="s">
        <v>481</v>
      </c>
      <c r="D38" s="234" t="s">
        <v>473</v>
      </c>
      <c r="E38" s="234"/>
      <c r="F38" s="175" t="s">
        <v>482</v>
      </c>
      <c r="G38" s="157" t="s">
        <v>483</v>
      </c>
      <c r="H38" s="175" t="s">
        <v>484</v>
      </c>
      <c r="I38" s="208"/>
      <c r="J38" s="10" t="s">
        <v>485</v>
      </c>
      <c r="K38" s="10" t="s">
        <v>94</v>
      </c>
      <c r="L38" s="10" t="s">
        <v>72</v>
      </c>
      <c r="M38" s="214">
        <v>2643000</v>
      </c>
      <c r="N38" s="214">
        <v>2907300</v>
      </c>
      <c r="O38" s="10"/>
      <c r="P38" s="122" t="s">
        <v>486</v>
      </c>
      <c r="Q38" s="10"/>
      <c r="R38" s="98">
        <v>0.4</v>
      </c>
      <c r="S38" s="214">
        <f t="shared" si="7"/>
        <v>1014000</v>
      </c>
      <c r="T38" s="38"/>
      <c r="U38" s="220">
        <f t="shared" si="5"/>
        <v>1723800.0000000002</v>
      </c>
      <c r="V38" s="220">
        <f t="shared" si="6"/>
        <v>709800.00000000023</v>
      </c>
      <c r="W38" s="10" t="s">
        <v>222</v>
      </c>
    </row>
    <row r="39" spans="1:25" s="7" customFormat="1" ht="47.25" x14ac:dyDescent="0.25">
      <c r="A39" s="10">
        <v>35</v>
      </c>
      <c r="B39" s="122" t="s">
        <v>458</v>
      </c>
      <c r="C39" s="240" t="s">
        <v>487</v>
      </c>
      <c r="D39" s="234" t="s">
        <v>473</v>
      </c>
      <c r="E39" s="234"/>
      <c r="F39" s="175" t="s">
        <v>488</v>
      </c>
      <c r="G39" s="157" t="s">
        <v>489</v>
      </c>
      <c r="H39" s="175" t="s">
        <v>490</v>
      </c>
      <c r="I39" s="208" t="s">
        <v>491</v>
      </c>
      <c r="J39" s="10" t="s">
        <v>492</v>
      </c>
      <c r="K39" s="10" t="s">
        <v>83</v>
      </c>
      <c r="L39" s="10" t="s">
        <v>114</v>
      </c>
      <c r="M39" s="214">
        <v>1161000</v>
      </c>
      <c r="N39" s="214">
        <v>1827100</v>
      </c>
      <c r="O39" s="10"/>
      <c r="P39" s="122"/>
      <c r="Q39" s="10"/>
      <c r="R39" s="98">
        <v>0.4</v>
      </c>
      <c r="S39" s="214">
        <f t="shared" si="7"/>
        <v>421200</v>
      </c>
      <c r="T39" s="38"/>
      <c r="U39" s="220">
        <f t="shared" si="5"/>
        <v>716040</v>
      </c>
      <c r="V39" s="220">
        <f t="shared" si="6"/>
        <v>294840</v>
      </c>
      <c r="W39" s="10" t="s">
        <v>368</v>
      </c>
      <c r="Y39" s="248"/>
    </row>
    <row r="40" spans="1:25" s="7" customFormat="1" ht="47.25" x14ac:dyDescent="0.25">
      <c r="A40" s="10">
        <v>36</v>
      </c>
      <c r="B40" s="122" t="s">
        <v>458</v>
      </c>
      <c r="C40" s="240" t="s">
        <v>493</v>
      </c>
      <c r="D40" s="234" t="s">
        <v>494</v>
      </c>
      <c r="E40" s="234"/>
      <c r="F40" s="175" t="s">
        <v>495</v>
      </c>
      <c r="G40" s="157" t="s">
        <v>496</v>
      </c>
      <c r="H40" s="175" t="s">
        <v>497</v>
      </c>
      <c r="I40" s="208"/>
      <c r="J40" s="10" t="s">
        <v>498</v>
      </c>
      <c r="K40" s="10" t="s">
        <v>83</v>
      </c>
      <c r="L40" s="10" t="s">
        <v>72</v>
      </c>
      <c r="M40" s="214">
        <v>2828000</v>
      </c>
      <c r="N40" s="214">
        <v>3110800</v>
      </c>
      <c r="O40" s="10"/>
      <c r="P40" s="122" t="s">
        <v>499</v>
      </c>
      <c r="Q40" s="10"/>
      <c r="R40" s="98">
        <v>0.4</v>
      </c>
      <c r="S40" s="214">
        <f t="shared" si="7"/>
        <v>1088000</v>
      </c>
      <c r="T40" s="38"/>
      <c r="U40" s="220">
        <f t="shared" si="5"/>
        <v>1849600.0000000002</v>
      </c>
      <c r="V40" s="220">
        <f t="shared" si="6"/>
        <v>761600.00000000023</v>
      </c>
      <c r="W40" s="10" t="s">
        <v>222</v>
      </c>
      <c r="X40" s="248">
        <f>S23+S29+S35+S38+S39</f>
        <v>3320400</v>
      </c>
    </row>
    <row r="41" spans="1:25" s="7" customFormat="1" ht="40.5" customHeight="1" x14ac:dyDescent="0.25">
      <c r="A41" s="10">
        <v>37</v>
      </c>
      <c r="B41" s="122" t="s">
        <v>500</v>
      </c>
      <c r="C41" s="234" t="s">
        <v>501</v>
      </c>
      <c r="D41" s="234" t="s">
        <v>502</v>
      </c>
      <c r="E41" s="234"/>
      <c r="F41" s="175" t="s">
        <v>503</v>
      </c>
      <c r="G41" s="157" t="s">
        <v>504</v>
      </c>
      <c r="H41" s="175" t="s">
        <v>505</v>
      </c>
      <c r="I41" s="208" t="s">
        <v>506</v>
      </c>
      <c r="J41" s="10" t="s">
        <v>507</v>
      </c>
      <c r="K41" s="10" t="s">
        <v>83</v>
      </c>
      <c r="L41" s="10" t="s">
        <v>103</v>
      </c>
      <c r="M41" s="214">
        <v>1992000</v>
      </c>
      <c r="N41" s="214">
        <v>2741200</v>
      </c>
      <c r="O41" s="10"/>
      <c r="P41" s="122" t="s">
        <v>508</v>
      </c>
      <c r="Q41" s="10"/>
      <c r="R41" s="98">
        <v>0.4</v>
      </c>
      <c r="S41" s="214">
        <v>741200</v>
      </c>
      <c r="T41" s="38"/>
      <c r="U41" s="220">
        <f t="shared" si="5"/>
        <v>1281120</v>
      </c>
      <c r="V41" s="220">
        <f t="shared" si="6"/>
        <v>539920</v>
      </c>
      <c r="W41" s="10" t="s">
        <v>222</v>
      </c>
    </row>
    <row r="42" spans="1:25" s="7" customFormat="1" ht="63" x14ac:dyDescent="0.25">
      <c r="A42" s="10">
        <v>38</v>
      </c>
      <c r="B42" s="122" t="s">
        <v>509</v>
      </c>
      <c r="C42" s="234" t="s">
        <v>207</v>
      </c>
      <c r="D42" s="234" t="s">
        <v>510</v>
      </c>
      <c r="E42" s="234"/>
      <c r="F42" s="175" t="s">
        <v>209</v>
      </c>
      <c r="G42" s="157" t="s">
        <v>511</v>
      </c>
      <c r="H42" s="175" t="s">
        <v>512</v>
      </c>
      <c r="I42" s="208" t="s">
        <v>202</v>
      </c>
      <c r="J42" s="10" t="s">
        <v>538</v>
      </c>
      <c r="K42" s="10" t="s">
        <v>83</v>
      </c>
      <c r="L42" s="10" t="s">
        <v>72</v>
      </c>
      <c r="M42" s="214">
        <v>2828000</v>
      </c>
      <c r="N42" s="214">
        <v>3110800</v>
      </c>
      <c r="O42" s="10"/>
      <c r="P42" s="122" t="s">
        <v>499</v>
      </c>
      <c r="Q42" s="10"/>
      <c r="R42" s="98">
        <v>0.3</v>
      </c>
      <c r="S42" s="214">
        <f>(M42-3000*36)*0.3</f>
        <v>816000</v>
      </c>
      <c r="T42" s="38"/>
      <c r="U42" s="220">
        <f t="shared" si="5"/>
        <v>1849600.0000000002</v>
      </c>
      <c r="V42" s="220">
        <f t="shared" si="6"/>
        <v>1033600.0000000002</v>
      </c>
      <c r="W42" s="10" t="s">
        <v>550</v>
      </c>
      <c r="X42" s="7" t="s">
        <v>566</v>
      </c>
    </row>
    <row r="43" spans="1:25" s="7" customFormat="1" ht="47.25" x14ac:dyDescent="0.25">
      <c r="A43" s="10">
        <v>39</v>
      </c>
      <c r="B43" s="122" t="s">
        <v>518</v>
      </c>
      <c r="C43" s="234" t="s">
        <v>519</v>
      </c>
      <c r="D43" s="234" t="s">
        <v>520</v>
      </c>
      <c r="E43" s="234"/>
      <c r="F43" s="175" t="s">
        <v>521</v>
      </c>
      <c r="G43" s="157" t="s">
        <v>522</v>
      </c>
      <c r="H43" s="175" t="s">
        <v>523</v>
      </c>
      <c r="I43" s="208" t="s">
        <v>235</v>
      </c>
      <c r="J43" s="10"/>
      <c r="K43" s="10" t="s">
        <v>83</v>
      </c>
      <c r="L43" s="10" t="s">
        <v>114</v>
      </c>
      <c r="M43" s="214">
        <v>1161000</v>
      </c>
      <c r="N43" s="214">
        <v>1827100</v>
      </c>
      <c r="O43" s="10"/>
      <c r="P43" s="99" t="s">
        <v>524</v>
      </c>
      <c r="Q43" s="10"/>
      <c r="R43" s="98"/>
      <c r="S43" s="214"/>
      <c r="T43" s="38"/>
      <c r="U43" s="220">
        <f t="shared" si="5"/>
        <v>716040</v>
      </c>
      <c r="V43" s="220">
        <f t="shared" si="6"/>
        <v>716040</v>
      </c>
      <c r="W43" s="10" t="s">
        <v>584</v>
      </c>
    </row>
    <row r="44" spans="1:25" s="7" customFormat="1" ht="47.25" x14ac:dyDescent="0.25">
      <c r="A44" s="10">
        <v>40</v>
      </c>
      <c r="B44" s="122" t="s">
        <v>532</v>
      </c>
      <c r="C44" s="234" t="s">
        <v>533</v>
      </c>
      <c r="D44" s="234" t="s">
        <v>534</v>
      </c>
      <c r="E44" s="234"/>
      <c r="F44" s="175" t="s">
        <v>535</v>
      </c>
      <c r="G44" s="157" t="s">
        <v>536</v>
      </c>
      <c r="H44" s="175" t="s">
        <v>497</v>
      </c>
      <c r="I44" s="208" t="s">
        <v>537</v>
      </c>
      <c r="J44" s="10" t="s">
        <v>539</v>
      </c>
      <c r="K44" s="10" t="s">
        <v>180</v>
      </c>
      <c r="L44" s="10" t="s">
        <v>72</v>
      </c>
      <c r="M44" s="214">
        <v>2828000</v>
      </c>
      <c r="N44" s="214">
        <v>3110800</v>
      </c>
      <c r="O44" s="10"/>
      <c r="P44" s="99" t="s">
        <v>540</v>
      </c>
      <c r="Q44" s="10"/>
      <c r="R44" s="98">
        <v>0.4</v>
      </c>
      <c r="S44" s="214">
        <f>(M44-3000*36)*0.4</f>
        <v>1088000</v>
      </c>
      <c r="T44" s="38"/>
      <c r="U44" s="220">
        <f t="shared" si="5"/>
        <v>1849600.0000000002</v>
      </c>
      <c r="V44" s="220">
        <f t="shared" si="6"/>
        <v>761600.00000000023</v>
      </c>
      <c r="W44" s="10" t="s">
        <v>551</v>
      </c>
      <c r="X44" s="7" t="s">
        <v>73</v>
      </c>
      <c r="Y44" s="248">
        <f>N44-S44</f>
        <v>2022800</v>
      </c>
    </row>
    <row r="45" spans="1:25" s="217" customFormat="1" ht="63" x14ac:dyDescent="0.25">
      <c r="A45" s="220">
        <v>41</v>
      </c>
      <c r="B45" s="239" t="s">
        <v>541</v>
      </c>
      <c r="C45" s="240" t="s">
        <v>542</v>
      </c>
      <c r="D45" s="240" t="s">
        <v>473</v>
      </c>
      <c r="E45" s="240"/>
      <c r="F45" s="241" t="s">
        <v>543</v>
      </c>
      <c r="G45" s="242" t="s">
        <v>544</v>
      </c>
      <c r="H45" s="241" t="s">
        <v>545</v>
      </c>
      <c r="I45" s="254" t="s">
        <v>546</v>
      </c>
      <c r="J45" s="220" t="s">
        <v>547</v>
      </c>
      <c r="K45" s="220" t="s">
        <v>94</v>
      </c>
      <c r="L45" s="220" t="s">
        <v>114</v>
      </c>
      <c r="M45" s="214">
        <v>1061000</v>
      </c>
      <c r="N45" s="214">
        <v>1277100</v>
      </c>
      <c r="O45" s="220"/>
      <c r="P45" s="219" t="s">
        <v>548</v>
      </c>
      <c r="Q45" s="220"/>
      <c r="R45" s="243">
        <v>0.4</v>
      </c>
      <c r="S45" s="214">
        <f>(M45-3000*12)*0.4</f>
        <v>410000</v>
      </c>
      <c r="T45" s="376" t="s">
        <v>549</v>
      </c>
      <c r="U45" s="220">
        <f t="shared" si="5"/>
        <v>648040</v>
      </c>
      <c r="V45" s="220">
        <f t="shared" si="6"/>
        <v>238040</v>
      </c>
      <c r="W45" s="220" t="s">
        <v>236</v>
      </c>
      <c r="X45" s="255">
        <f>S45+S46</f>
        <v>1424000</v>
      </c>
    </row>
    <row r="46" spans="1:25" s="217" customFormat="1" ht="51.75" x14ac:dyDescent="0.25">
      <c r="A46" s="220">
        <v>42</v>
      </c>
      <c r="B46" s="239" t="s">
        <v>552</v>
      </c>
      <c r="C46" s="240" t="s">
        <v>553</v>
      </c>
      <c r="D46" s="240" t="s">
        <v>473</v>
      </c>
      <c r="E46" s="240"/>
      <c r="F46" s="241" t="s">
        <v>555</v>
      </c>
      <c r="G46" s="253" t="s">
        <v>554</v>
      </c>
      <c r="H46" s="241" t="s">
        <v>556</v>
      </c>
      <c r="I46" s="254" t="s">
        <v>557</v>
      </c>
      <c r="J46" s="220" t="s">
        <v>558</v>
      </c>
      <c r="K46" s="220" t="s">
        <v>559</v>
      </c>
      <c r="L46" s="220" t="s">
        <v>72</v>
      </c>
      <c r="M46" s="214">
        <v>2643000</v>
      </c>
      <c r="N46" s="214">
        <v>2907300</v>
      </c>
      <c r="O46" s="220"/>
      <c r="P46" s="219" t="s">
        <v>560</v>
      </c>
      <c r="Q46" s="220"/>
      <c r="R46" s="243">
        <v>0.4</v>
      </c>
      <c r="S46" s="214">
        <f>(M46-3000*36)*0.4</f>
        <v>1014000</v>
      </c>
      <c r="T46" s="376"/>
      <c r="U46" s="220">
        <f>(M46-3000*36)*0.68</f>
        <v>1723800.0000000002</v>
      </c>
      <c r="V46" s="220">
        <f t="shared" ref="V46:V54" si="8">U46-S46</f>
        <v>709800.00000000023</v>
      </c>
      <c r="W46" s="220" t="s">
        <v>236</v>
      </c>
      <c r="X46" s="217" t="s">
        <v>566</v>
      </c>
    </row>
    <row r="47" spans="1:25" ht="47.25" x14ac:dyDescent="0.25">
      <c r="A47" s="19">
        <v>43</v>
      </c>
      <c r="B47" s="122">
        <v>43468</v>
      </c>
      <c r="C47" s="234" t="s">
        <v>561</v>
      </c>
      <c r="D47" s="234" t="s">
        <v>562</v>
      </c>
      <c r="E47" s="234"/>
      <c r="F47" s="29" t="s">
        <v>563</v>
      </c>
      <c r="G47" s="157" t="s">
        <v>564</v>
      </c>
      <c r="H47" s="29"/>
      <c r="I47" s="208"/>
      <c r="J47" s="10"/>
      <c r="K47" s="10" t="s">
        <v>94</v>
      </c>
      <c r="L47" s="10" t="s">
        <v>114</v>
      </c>
      <c r="M47" s="214">
        <v>1061000</v>
      </c>
      <c r="N47" s="214">
        <v>1277100</v>
      </c>
      <c r="O47" s="10"/>
      <c r="P47" s="22">
        <v>43833</v>
      </c>
      <c r="Q47" s="19"/>
      <c r="R47" s="165">
        <v>0.4</v>
      </c>
      <c r="S47" s="214">
        <f>(M47-3000*12)*0.4</f>
        <v>410000</v>
      </c>
      <c r="T47" s="26"/>
      <c r="U47" s="220">
        <f>(M47-3000*12)*0.68</f>
        <v>697000</v>
      </c>
      <c r="V47" s="220">
        <f t="shared" si="8"/>
        <v>287000</v>
      </c>
      <c r="W47" s="19" t="s">
        <v>583</v>
      </c>
    </row>
    <row r="48" spans="1:25" ht="47.25" x14ac:dyDescent="0.25">
      <c r="A48" s="19">
        <v>44</v>
      </c>
      <c r="B48" s="122">
        <v>43711</v>
      </c>
      <c r="C48" s="234" t="s">
        <v>585</v>
      </c>
      <c r="D48" s="234" t="s">
        <v>586</v>
      </c>
      <c r="E48" s="234"/>
      <c r="F48" s="29" t="s">
        <v>587</v>
      </c>
      <c r="G48" s="157" t="s">
        <v>588</v>
      </c>
      <c r="H48" s="249" t="s">
        <v>589</v>
      </c>
      <c r="I48" s="208"/>
      <c r="J48" s="10" t="s">
        <v>590</v>
      </c>
      <c r="K48" s="10" t="s">
        <v>367</v>
      </c>
      <c r="L48" s="10" t="s">
        <v>72</v>
      </c>
      <c r="M48" s="214">
        <v>2643000</v>
      </c>
      <c r="N48" s="214">
        <v>2907300</v>
      </c>
      <c r="O48" s="10"/>
      <c r="P48" s="22">
        <v>44807</v>
      </c>
      <c r="Q48" s="19"/>
      <c r="R48" s="165">
        <v>0.4</v>
      </c>
      <c r="S48" s="214">
        <f t="shared" ref="S48:S53" si="9">(M48-3000*36)*0.4</f>
        <v>1014000</v>
      </c>
      <c r="T48" s="26" t="s">
        <v>615</v>
      </c>
      <c r="U48" s="220">
        <f t="shared" ref="U48:U53" si="10">(M48-3000*36)*0.68</f>
        <v>1723800.0000000002</v>
      </c>
      <c r="V48" s="220">
        <f t="shared" si="8"/>
        <v>709800.00000000023</v>
      </c>
      <c r="W48" s="19" t="s">
        <v>644</v>
      </c>
      <c r="X48" s="23" t="s">
        <v>566</v>
      </c>
    </row>
    <row r="49" spans="1:26" ht="47.25" x14ac:dyDescent="0.25">
      <c r="A49" s="19">
        <v>45</v>
      </c>
      <c r="B49" s="122" t="s">
        <v>595</v>
      </c>
      <c r="C49" s="234" t="s">
        <v>596</v>
      </c>
      <c r="D49" s="234" t="s">
        <v>479</v>
      </c>
      <c r="E49" s="234"/>
      <c r="F49" s="29" t="s">
        <v>597</v>
      </c>
      <c r="G49" s="157" t="s">
        <v>598</v>
      </c>
      <c r="H49" s="29" t="s">
        <v>148</v>
      </c>
      <c r="I49" s="310" t="s">
        <v>599</v>
      </c>
      <c r="J49" s="10" t="s">
        <v>600</v>
      </c>
      <c r="K49" s="10" t="s">
        <v>83</v>
      </c>
      <c r="L49" s="10" t="s">
        <v>72</v>
      </c>
      <c r="M49" s="214">
        <v>2828000</v>
      </c>
      <c r="N49" s="214">
        <v>3110800</v>
      </c>
      <c r="O49" s="10"/>
      <c r="P49" s="22" t="s">
        <v>601</v>
      </c>
      <c r="Q49" s="19"/>
      <c r="R49" s="165">
        <v>0.4</v>
      </c>
      <c r="S49" s="214">
        <f t="shared" si="9"/>
        <v>1088000</v>
      </c>
      <c r="T49" s="26"/>
      <c r="U49" s="220">
        <f t="shared" si="10"/>
        <v>1849600.0000000002</v>
      </c>
      <c r="V49" s="220">
        <f t="shared" si="8"/>
        <v>761600.00000000023</v>
      </c>
      <c r="W49" s="19" t="s">
        <v>983</v>
      </c>
      <c r="X49" s="23" t="s">
        <v>602</v>
      </c>
      <c r="Y49" s="246"/>
    </row>
    <row r="50" spans="1:26" ht="47.25" x14ac:dyDescent="0.25">
      <c r="A50" s="19">
        <v>46</v>
      </c>
      <c r="B50" s="122" t="s">
        <v>607</v>
      </c>
      <c r="C50" s="234" t="s">
        <v>608</v>
      </c>
      <c r="D50" s="234" t="s">
        <v>502</v>
      </c>
      <c r="E50" s="234"/>
      <c r="F50" s="29" t="s">
        <v>609</v>
      </c>
      <c r="G50" s="157" t="s">
        <v>610</v>
      </c>
      <c r="H50" s="29" t="s">
        <v>611</v>
      </c>
      <c r="I50" s="208" t="s">
        <v>612</v>
      </c>
      <c r="J50" s="10" t="s">
        <v>613</v>
      </c>
      <c r="K50" s="10" t="s">
        <v>94</v>
      </c>
      <c r="L50" s="10" t="s">
        <v>72</v>
      </c>
      <c r="M50" s="214">
        <v>2643000</v>
      </c>
      <c r="N50" s="214">
        <v>2907300</v>
      </c>
      <c r="O50" s="10"/>
      <c r="P50" s="22" t="s">
        <v>614</v>
      </c>
      <c r="Q50" s="19"/>
      <c r="R50" s="165">
        <v>0.4</v>
      </c>
      <c r="S50" s="214">
        <f t="shared" si="9"/>
        <v>1014000</v>
      </c>
      <c r="T50" s="26"/>
      <c r="U50" s="220">
        <f t="shared" si="10"/>
        <v>1723800.0000000002</v>
      </c>
      <c r="V50" s="220">
        <f t="shared" si="8"/>
        <v>709800.00000000023</v>
      </c>
      <c r="W50" s="19" t="s">
        <v>669</v>
      </c>
      <c r="X50" s="23" t="s">
        <v>566</v>
      </c>
      <c r="Y50" s="23">
        <v>1893300</v>
      </c>
    </row>
    <row r="51" spans="1:26" ht="31.5" x14ac:dyDescent="0.25">
      <c r="A51" s="19">
        <v>47</v>
      </c>
      <c r="B51" s="122" t="s">
        <v>622</v>
      </c>
      <c r="C51" s="234" t="s">
        <v>623</v>
      </c>
      <c r="D51" s="234" t="s">
        <v>457</v>
      </c>
      <c r="E51" s="234"/>
      <c r="F51" s="29" t="s">
        <v>624</v>
      </c>
      <c r="G51" s="157" t="s">
        <v>625</v>
      </c>
      <c r="H51" s="29"/>
      <c r="I51" s="208"/>
      <c r="J51" s="10" t="s">
        <v>626</v>
      </c>
      <c r="K51" s="10" t="s">
        <v>94</v>
      </c>
      <c r="L51" s="10" t="s">
        <v>72</v>
      </c>
      <c r="M51" s="214">
        <v>2643000</v>
      </c>
      <c r="N51" s="214">
        <v>2907300</v>
      </c>
      <c r="O51" s="10"/>
      <c r="P51" s="22" t="s">
        <v>627</v>
      </c>
      <c r="Q51" s="19"/>
      <c r="R51" s="165">
        <v>0.4</v>
      </c>
      <c r="S51" s="214">
        <f t="shared" si="9"/>
        <v>1014000</v>
      </c>
      <c r="T51" s="26"/>
      <c r="U51" s="220">
        <f t="shared" si="10"/>
        <v>1723800.0000000002</v>
      </c>
      <c r="V51" s="220">
        <f t="shared" si="8"/>
        <v>709800.00000000023</v>
      </c>
      <c r="W51" s="19" t="s">
        <v>783</v>
      </c>
      <c r="X51" s="23" t="s">
        <v>566</v>
      </c>
    </row>
    <row r="52" spans="1:26" ht="47.25" x14ac:dyDescent="0.25">
      <c r="A52" s="19">
        <v>48</v>
      </c>
      <c r="B52" s="122" t="s">
        <v>628</v>
      </c>
      <c r="C52" s="234" t="s">
        <v>629</v>
      </c>
      <c r="D52" s="234" t="s">
        <v>474</v>
      </c>
      <c r="E52" s="234"/>
      <c r="F52" s="29" t="s">
        <v>631</v>
      </c>
      <c r="G52" s="157" t="s">
        <v>630</v>
      </c>
      <c r="H52" s="29" t="s">
        <v>632</v>
      </c>
      <c r="I52" s="208" t="s">
        <v>633</v>
      </c>
      <c r="J52" s="10" t="s">
        <v>634</v>
      </c>
      <c r="K52" s="10" t="s">
        <v>83</v>
      </c>
      <c r="L52" s="10" t="s">
        <v>72</v>
      </c>
      <c r="M52" s="214">
        <v>2828000</v>
      </c>
      <c r="N52" s="214">
        <v>3110800</v>
      </c>
      <c r="O52" s="10"/>
      <c r="P52" s="22" t="s">
        <v>635</v>
      </c>
      <c r="Q52" s="19"/>
      <c r="R52" s="165">
        <v>0.4</v>
      </c>
      <c r="S52" s="214">
        <f t="shared" si="9"/>
        <v>1088000</v>
      </c>
      <c r="T52" s="26"/>
      <c r="U52" s="220">
        <f t="shared" si="10"/>
        <v>1849600.0000000002</v>
      </c>
      <c r="V52" s="220">
        <f t="shared" si="8"/>
        <v>761600.00000000023</v>
      </c>
      <c r="W52" s="19" t="s">
        <v>670</v>
      </c>
      <c r="X52" s="23" t="s">
        <v>602</v>
      </c>
    </row>
    <row r="53" spans="1:26" ht="47.25" x14ac:dyDescent="0.25">
      <c r="A53" s="19">
        <v>49</v>
      </c>
      <c r="B53" s="122" t="s">
        <v>648</v>
      </c>
      <c r="C53" s="234" t="s">
        <v>649</v>
      </c>
      <c r="D53" s="234" t="s">
        <v>650</v>
      </c>
      <c r="E53" s="234"/>
      <c r="F53" s="29" t="s">
        <v>651</v>
      </c>
      <c r="G53" s="157" t="s">
        <v>652</v>
      </c>
      <c r="H53" s="29" t="s">
        <v>653</v>
      </c>
      <c r="I53" s="208" t="s">
        <v>654</v>
      </c>
      <c r="J53" s="10" t="s">
        <v>655</v>
      </c>
      <c r="K53" s="10" t="s">
        <v>83</v>
      </c>
      <c r="L53" s="10" t="s">
        <v>72</v>
      </c>
      <c r="M53" s="214">
        <v>2828000</v>
      </c>
      <c r="N53" s="214">
        <v>3110800</v>
      </c>
      <c r="O53" s="10"/>
      <c r="P53" s="22" t="s">
        <v>656</v>
      </c>
      <c r="Q53" s="19"/>
      <c r="R53" s="165">
        <v>0.4</v>
      </c>
      <c r="S53" s="214">
        <f t="shared" si="9"/>
        <v>1088000</v>
      </c>
      <c r="T53" s="26"/>
      <c r="U53" s="220">
        <f t="shared" si="10"/>
        <v>1849600.0000000002</v>
      </c>
      <c r="V53" s="220">
        <f t="shared" si="8"/>
        <v>761600.00000000023</v>
      </c>
      <c r="W53" s="19" t="s">
        <v>673</v>
      </c>
      <c r="X53" s="23" t="s">
        <v>602</v>
      </c>
    </row>
    <row r="54" spans="1:26" ht="31.5" x14ac:dyDescent="0.25">
      <c r="A54" s="19">
        <v>50</v>
      </c>
      <c r="B54" s="122" t="s">
        <v>674</v>
      </c>
      <c r="C54" s="234" t="s">
        <v>675</v>
      </c>
      <c r="D54" s="234" t="s">
        <v>502</v>
      </c>
      <c r="E54" s="234"/>
      <c r="F54" s="29" t="s">
        <v>677</v>
      </c>
      <c r="G54" s="157" t="s">
        <v>678</v>
      </c>
      <c r="H54" s="29" t="s">
        <v>676</v>
      </c>
      <c r="I54" s="208" t="s">
        <v>679</v>
      </c>
      <c r="J54" s="10" t="s">
        <v>680</v>
      </c>
      <c r="K54" s="10" t="s">
        <v>94</v>
      </c>
      <c r="L54" s="10" t="s">
        <v>114</v>
      </c>
      <c r="M54" s="214">
        <v>1061000</v>
      </c>
      <c r="N54" s="214">
        <v>1277100</v>
      </c>
      <c r="O54" s="10"/>
      <c r="P54" s="22" t="s">
        <v>681</v>
      </c>
      <c r="Q54" s="19"/>
      <c r="R54" s="165"/>
      <c r="S54" s="214">
        <v>277000</v>
      </c>
      <c r="T54" s="26"/>
      <c r="U54" s="220">
        <f>(M54-3000*12)*0.68</f>
        <v>697000</v>
      </c>
      <c r="V54" s="220">
        <f t="shared" si="8"/>
        <v>420000</v>
      </c>
      <c r="W54" s="19" t="s">
        <v>782</v>
      </c>
    </row>
    <row r="55" spans="1:26" s="217" customFormat="1" x14ac:dyDescent="0.25">
      <c r="A55" s="220">
        <v>51</v>
      </c>
      <c r="B55" s="239">
        <v>43559</v>
      </c>
      <c r="C55" s="240" t="s">
        <v>688</v>
      </c>
      <c r="D55" s="240" t="s">
        <v>510</v>
      </c>
      <c r="E55" s="240"/>
      <c r="F55" s="244" t="s">
        <v>692</v>
      </c>
      <c r="G55" s="242"/>
      <c r="H55" s="244"/>
      <c r="I55" s="254" t="s">
        <v>202</v>
      </c>
      <c r="J55" s="220"/>
      <c r="K55" s="220" t="s">
        <v>83</v>
      </c>
      <c r="L55" s="220" t="s">
        <v>72</v>
      </c>
      <c r="M55" s="214">
        <v>2828000</v>
      </c>
      <c r="N55" s="214">
        <v>3110800</v>
      </c>
      <c r="O55" s="220"/>
      <c r="P55" s="239">
        <v>44655</v>
      </c>
      <c r="Q55" s="220"/>
      <c r="R55" s="243">
        <v>0.3</v>
      </c>
      <c r="S55" s="214">
        <f>(M55-3000*36)*0.3</f>
        <v>816000</v>
      </c>
      <c r="T55" s="376"/>
      <c r="U55" s="220">
        <f>(M55-3000*36)*0.68</f>
        <v>1849600.0000000002</v>
      </c>
      <c r="V55" s="219">
        <f>U55-S55</f>
        <v>1033600.0000000002</v>
      </c>
      <c r="W55" s="19" t="s">
        <v>732</v>
      </c>
      <c r="X55" s="217" t="s">
        <v>741</v>
      </c>
      <c r="Y55" s="217" t="s">
        <v>785</v>
      </c>
    </row>
    <row r="56" spans="1:26" ht="31.5" x14ac:dyDescent="0.25">
      <c r="A56" s="19">
        <v>52</v>
      </c>
      <c r="B56" s="122">
        <v>43559</v>
      </c>
      <c r="C56" s="234" t="s">
        <v>689</v>
      </c>
      <c r="D56" s="234" t="s">
        <v>510</v>
      </c>
      <c r="E56" s="234"/>
      <c r="F56" s="29" t="s">
        <v>693</v>
      </c>
      <c r="G56" s="157"/>
      <c r="H56" s="29"/>
      <c r="I56" s="208" t="s">
        <v>202</v>
      </c>
      <c r="J56" s="10"/>
      <c r="K56" s="10" t="s">
        <v>83</v>
      </c>
      <c r="L56" s="10" t="s">
        <v>72</v>
      </c>
      <c r="M56" s="214">
        <v>2828000</v>
      </c>
      <c r="N56" s="214">
        <v>3110800</v>
      </c>
      <c r="O56" s="10"/>
      <c r="P56" s="22">
        <v>44655</v>
      </c>
      <c r="Q56" s="19"/>
      <c r="R56" s="165">
        <v>0.3</v>
      </c>
      <c r="S56" s="214">
        <f>(M56-3000*36)*0.3</f>
        <v>816000</v>
      </c>
      <c r="T56" s="26"/>
      <c r="U56" s="220">
        <f t="shared" ref="U56:U63" si="11">(M56-3000*36)*0.68</f>
        <v>1849600.0000000002</v>
      </c>
      <c r="V56" s="219">
        <f t="shared" ref="V56:V77" si="12">U56-S56</f>
        <v>1033600.0000000002</v>
      </c>
      <c r="W56" s="19" t="s">
        <v>732</v>
      </c>
      <c r="X56" s="217" t="s">
        <v>741</v>
      </c>
      <c r="Y56" s="217" t="s">
        <v>785</v>
      </c>
    </row>
    <row r="57" spans="1:26" ht="31.5" x14ac:dyDescent="0.25">
      <c r="A57" s="19">
        <v>53</v>
      </c>
      <c r="B57" s="122">
        <v>43559</v>
      </c>
      <c r="C57" s="234" t="s">
        <v>690</v>
      </c>
      <c r="D57" s="234" t="s">
        <v>510</v>
      </c>
      <c r="E57" s="234"/>
      <c r="F57" s="29" t="s">
        <v>694</v>
      </c>
      <c r="G57" s="157"/>
      <c r="H57" s="29"/>
      <c r="I57" s="208" t="s">
        <v>202</v>
      </c>
      <c r="J57" s="10"/>
      <c r="K57" s="10" t="s">
        <v>83</v>
      </c>
      <c r="L57" s="10" t="s">
        <v>72</v>
      </c>
      <c r="M57" s="214">
        <v>2828000</v>
      </c>
      <c r="N57" s="214">
        <v>3110800</v>
      </c>
      <c r="O57" s="10"/>
      <c r="P57" s="22">
        <v>44655</v>
      </c>
      <c r="Q57" s="19"/>
      <c r="R57" s="165">
        <v>0.3</v>
      </c>
      <c r="S57" s="214">
        <f>(M57-3000*36)*0.3</f>
        <v>816000</v>
      </c>
      <c r="T57" s="26"/>
      <c r="U57" s="220">
        <f t="shared" si="11"/>
        <v>1849600.0000000002</v>
      </c>
      <c r="V57" s="219">
        <f t="shared" si="12"/>
        <v>1033600.0000000002</v>
      </c>
      <c r="W57" s="19" t="s">
        <v>732</v>
      </c>
      <c r="X57" s="217" t="s">
        <v>741</v>
      </c>
      <c r="Y57" s="217" t="s">
        <v>785</v>
      </c>
    </row>
    <row r="58" spans="1:26" ht="31.5" x14ac:dyDescent="0.25">
      <c r="A58" s="19">
        <v>54</v>
      </c>
      <c r="B58" s="122">
        <v>43559</v>
      </c>
      <c r="C58" s="234" t="s">
        <v>691</v>
      </c>
      <c r="D58" s="234" t="s">
        <v>510</v>
      </c>
      <c r="E58" s="234"/>
      <c r="F58" s="29" t="s">
        <v>695</v>
      </c>
      <c r="G58" s="157"/>
      <c r="H58" s="29"/>
      <c r="I58" s="208" t="s">
        <v>202</v>
      </c>
      <c r="J58" s="10"/>
      <c r="K58" s="10" t="s">
        <v>83</v>
      </c>
      <c r="L58" s="10" t="s">
        <v>72</v>
      </c>
      <c r="M58" s="214">
        <v>2828000</v>
      </c>
      <c r="N58" s="214">
        <v>3110800</v>
      </c>
      <c r="O58" s="10"/>
      <c r="P58" s="22">
        <v>44655</v>
      </c>
      <c r="Q58" s="19"/>
      <c r="R58" s="165">
        <v>0.3</v>
      </c>
      <c r="S58" s="214">
        <f>(M58-3000*36)*0.3</f>
        <v>816000</v>
      </c>
      <c r="T58" s="26"/>
      <c r="U58" s="220">
        <f t="shared" si="11"/>
        <v>1849600.0000000002</v>
      </c>
      <c r="V58" s="219">
        <f t="shared" si="12"/>
        <v>1033600.0000000002</v>
      </c>
      <c r="W58" s="19" t="s">
        <v>732</v>
      </c>
      <c r="X58" s="217" t="s">
        <v>741</v>
      </c>
      <c r="Y58" s="217" t="s">
        <v>785</v>
      </c>
    </row>
    <row r="59" spans="1:26" ht="47.25" x14ac:dyDescent="0.25">
      <c r="A59" s="19">
        <v>55</v>
      </c>
      <c r="B59" s="122">
        <v>43559</v>
      </c>
      <c r="C59" s="234" t="s">
        <v>696</v>
      </c>
      <c r="D59" s="234" t="s">
        <v>473</v>
      </c>
      <c r="E59" s="234"/>
      <c r="F59" s="29" t="s">
        <v>697</v>
      </c>
      <c r="G59" s="157" t="s">
        <v>698</v>
      </c>
      <c r="H59" s="29"/>
      <c r="I59" s="10"/>
      <c r="J59" s="10"/>
      <c r="K59" s="10" t="s">
        <v>94</v>
      </c>
      <c r="L59" s="10" t="s">
        <v>103</v>
      </c>
      <c r="M59" s="214">
        <v>1992000</v>
      </c>
      <c r="N59" s="214">
        <v>2191200</v>
      </c>
      <c r="O59" s="10"/>
      <c r="P59" s="22">
        <v>44290</v>
      </c>
      <c r="Q59" s="19"/>
      <c r="R59" s="165">
        <v>0.4</v>
      </c>
      <c r="S59" s="214">
        <f>(M59-3000*24)*0.4</f>
        <v>768000</v>
      </c>
      <c r="T59" s="26"/>
      <c r="U59" s="220">
        <f t="shared" si="11"/>
        <v>1281120</v>
      </c>
      <c r="V59" s="220">
        <f t="shared" si="12"/>
        <v>513120</v>
      </c>
      <c r="W59" s="19" t="s">
        <v>801</v>
      </c>
      <c r="Y59" s="246"/>
      <c r="Z59" s="246"/>
    </row>
    <row r="60" spans="1:26" ht="47.25" x14ac:dyDescent="0.25">
      <c r="A60" s="19">
        <v>56</v>
      </c>
      <c r="B60" s="122">
        <v>43589</v>
      </c>
      <c r="C60" s="234" t="s">
        <v>706</v>
      </c>
      <c r="D60" s="234" t="s">
        <v>475</v>
      </c>
      <c r="E60" s="234"/>
      <c r="F60" s="29" t="s">
        <v>707</v>
      </c>
      <c r="G60" s="157" t="s">
        <v>708</v>
      </c>
      <c r="H60" s="29" t="s">
        <v>709</v>
      </c>
      <c r="I60" s="208" t="s">
        <v>710</v>
      </c>
      <c r="J60" s="10" t="s">
        <v>711</v>
      </c>
      <c r="K60" s="10" t="s">
        <v>83</v>
      </c>
      <c r="L60" s="10" t="s">
        <v>72</v>
      </c>
      <c r="M60" s="214">
        <v>2828000</v>
      </c>
      <c r="N60" s="214">
        <v>3110800</v>
      </c>
      <c r="O60" s="10"/>
      <c r="P60" s="22">
        <v>44685</v>
      </c>
      <c r="Q60" s="19"/>
      <c r="R60" s="165">
        <v>0.4</v>
      </c>
      <c r="S60" s="214">
        <f>(M60-3000*36)*0.4</f>
        <v>1088000</v>
      </c>
      <c r="T60" s="26"/>
      <c r="U60" s="220">
        <f t="shared" si="11"/>
        <v>1849600.0000000002</v>
      </c>
      <c r="V60" s="220">
        <f t="shared" si="12"/>
        <v>761600.00000000023</v>
      </c>
      <c r="W60" s="19" t="s">
        <v>784</v>
      </c>
      <c r="X60" s="23" t="s">
        <v>742</v>
      </c>
      <c r="Y60" s="246"/>
    </row>
    <row r="61" spans="1:26" ht="63" x14ac:dyDescent="0.25">
      <c r="A61" s="19">
        <v>57</v>
      </c>
      <c r="B61" s="122">
        <v>43681</v>
      </c>
      <c r="C61" s="234" t="s">
        <v>712</v>
      </c>
      <c r="D61" s="234" t="s">
        <v>475</v>
      </c>
      <c r="E61" s="234"/>
      <c r="F61" s="29" t="s">
        <v>713</v>
      </c>
      <c r="G61" s="157" t="s">
        <v>714</v>
      </c>
      <c r="H61" s="29" t="s">
        <v>715</v>
      </c>
      <c r="I61" s="208" t="s">
        <v>442</v>
      </c>
      <c r="J61" s="10" t="s">
        <v>716</v>
      </c>
      <c r="K61" s="10" t="s">
        <v>83</v>
      </c>
      <c r="L61" s="10" t="s">
        <v>72</v>
      </c>
      <c r="M61" s="214">
        <v>2828000</v>
      </c>
      <c r="N61" s="214">
        <v>3110800</v>
      </c>
      <c r="O61" s="10"/>
      <c r="P61" s="22">
        <v>44777</v>
      </c>
      <c r="Q61" s="19"/>
      <c r="R61" s="165">
        <v>0.4</v>
      </c>
      <c r="S61" s="214">
        <f>(M61-3000*36)*0.4</f>
        <v>1088000</v>
      </c>
      <c r="T61" s="26"/>
      <c r="U61" s="220">
        <f t="shared" si="11"/>
        <v>1849600.0000000002</v>
      </c>
      <c r="V61" s="220">
        <f t="shared" si="12"/>
        <v>761600.00000000023</v>
      </c>
      <c r="W61" s="19" t="s">
        <v>784</v>
      </c>
      <c r="X61" s="23" t="s">
        <v>742</v>
      </c>
    </row>
    <row r="62" spans="1:26" ht="78.75" x14ac:dyDescent="0.25">
      <c r="A62" s="19">
        <v>58</v>
      </c>
      <c r="B62" s="122">
        <v>43742</v>
      </c>
      <c r="C62" s="234" t="s">
        <v>720</v>
      </c>
      <c r="D62" s="234" t="s">
        <v>510</v>
      </c>
      <c r="E62" s="234"/>
      <c r="F62" s="29" t="s">
        <v>721</v>
      </c>
      <c r="G62" s="157" t="s">
        <v>722</v>
      </c>
      <c r="H62" s="29"/>
      <c r="I62" s="208" t="s">
        <v>202</v>
      </c>
      <c r="J62" s="10" t="s">
        <v>723</v>
      </c>
      <c r="K62" s="10" t="s">
        <v>83</v>
      </c>
      <c r="L62" s="10" t="s">
        <v>72</v>
      </c>
      <c r="M62" s="214">
        <v>2828000</v>
      </c>
      <c r="N62" s="214">
        <v>3110800</v>
      </c>
      <c r="O62" s="10"/>
      <c r="P62" s="22">
        <v>44838</v>
      </c>
      <c r="Q62" s="19"/>
      <c r="R62" s="165">
        <v>0.3</v>
      </c>
      <c r="S62" s="214">
        <f>(M62-3000*36)*0.3</f>
        <v>816000</v>
      </c>
      <c r="T62" s="26"/>
      <c r="U62" s="220">
        <f t="shared" si="11"/>
        <v>1849600.0000000002</v>
      </c>
      <c r="V62" s="220">
        <f t="shared" si="12"/>
        <v>1033600.0000000002</v>
      </c>
      <c r="W62" s="19" t="s">
        <v>732</v>
      </c>
      <c r="X62" s="217" t="s">
        <v>741</v>
      </c>
      <c r="Y62" s="23" t="s">
        <v>785</v>
      </c>
    </row>
    <row r="63" spans="1:26" ht="63" x14ac:dyDescent="0.25">
      <c r="A63" s="19">
        <v>59</v>
      </c>
      <c r="B63" s="122">
        <v>43742</v>
      </c>
      <c r="C63" s="234" t="s">
        <v>724</v>
      </c>
      <c r="D63" s="234" t="s">
        <v>725</v>
      </c>
      <c r="E63" s="234"/>
      <c r="F63" s="29" t="s">
        <v>726</v>
      </c>
      <c r="G63" s="157" t="s">
        <v>727</v>
      </c>
      <c r="H63" s="29" t="s">
        <v>728</v>
      </c>
      <c r="I63" s="208" t="s">
        <v>729</v>
      </c>
      <c r="J63" s="10" t="s">
        <v>730</v>
      </c>
      <c r="K63" s="10" t="s">
        <v>94</v>
      </c>
      <c r="L63" s="10" t="s">
        <v>72</v>
      </c>
      <c r="M63" s="214">
        <v>2643000</v>
      </c>
      <c r="N63" s="214">
        <v>2907300</v>
      </c>
      <c r="O63" s="10"/>
      <c r="P63" s="22">
        <v>44839</v>
      </c>
      <c r="Q63" s="19"/>
      <c r="R63" s="19"/>
      <c r="S63" s="214">
        <v>0</v>
      </c>
      <c r="T63" s="26"/>
      <c r="U63" s="220">
        <f t="shared" si="11"/>
        <v>1723800.0000000002</v>
      </c>
      <c r="V63" s="220">
        <f t="shared" si="12"/>
        <v>1723800.0000000002</v>
      </c>
      <c r="W63" s="19" t="s">
        <v>731</v>
      </c>
      <c r="X63" s="217" t="s">
        <v>741</v>
      </c>
    </row>
    <row r="64" spans="1:26" ht="63" x14ac:dyDescent="0.25">
      <c r="A64" s="19">
        <v>60</v>
      </c>
      <c r="B64" s="10" t="s">
        <v>750</v>
      </c>
      <c r="C64" s="234" t="s">
        <v>751</v>
      </c>
      <c r="D64" s="234" t="s">
        <v>309</v>
      </c>
      <c r="E64" s="234"/>
      <c r="F64" s="29" t="s">
        <v>753</v>
      </c>
      <c r="G64" s="157" t="s">
        <v>752</v>
      </c>
      <c r="H64" s="29"/>
      <c r="I64" s="310" t="s">
        <v>754</v>
      </c>
      <c r="J64" s="10" t="s">
        <v>755</v>
      </c>
      <c r="K64" s="10" t="s">
        <v>94</v>
      </c>
      <c r="L64" s="10" t="s">
        <v>756</v>
      </c>
      <c r="M64" s="214">
        <v>1992000</v>
      </c>
      <c r="N64" s="214">
        <v>2191200</v>
      </c>
      <c r="O64" s="10"/>
      <c r="P64" s="22">
        <v>44470</v>
      </c>
      <c r="Q64" s="19"/>
      <c r="R64" s="165">
        <v>0.4</v>
      </c>
      <c r="S64" s="214">
        <f>(M64-3000*24)*0.4</f>
        <v>768000</v>
      </c>
      <c r="T64" s="26"/>
      <c r="U64" s="220">
        <f>(M64-3000*24)*0.68</f>
        <v>1305600</v>
      </c>
      <c r="V64" s="220">
        <f t="shared" si="12"/>
        <v>537600</v>
      </c>
      <c r="W64" s="19" t="s">
        <v>985</v>
      </c>
      <c r="X64" s="23" t="s">
        <v>933</v>
      </c>
    </row>
    <row r="65" spans="1:24" s="36" customFormat="1" ht="47.25" x14ac:dyDescent="0.25">
      <c r="A65" s="18">
        <v>61</v>
      </c>
      <c r="B65" s="78" t="s">
        <v>770</v>
      </c>
      <c r="C65" s="265" t="s">
        <v>771</v>
      </c>
      <c r="D65" s="265" t="s">
        <v>473</v>
      </c>
      <c r="E65" s="265"/>
      <c r="F65" s="275" t="s">
        <v>772</v>
      </c>
      <c r="G65" s="137" t="s">
        <v>773</v>
      </c>
      <c r="H65" s="275" t="s">
        <v>774</v>
      </c>
      <c r="I65" s="276" t="s">
        <v>775</v>
      </c>
      <c r="J65" s="78" t="s">
        <v>776</v>
      </c>
      <c r="K65" s="78" t="s">
        <v>94</v>
      </c>
      <c r="L65" s="78" t="s">
        <v>777</v>
      </c>
      <c r="M65" s="277">
        <v>1061000</v>
      </c>
      <c r="N65" s="277">
        <v>1277100</v>
      </c>
      <c r="O65" s="78"/>
      <c r="P65" s="18" t="s">
        <v>778</v>
      </c>
      <c r="Q65" s="18"/>
      <c r="R65" s="87">
        <v>0.4</v>
      </c>
      <c r="S65" s="277">
        <f>(M65-3000*12)*0.4</f>
        <v>410000</v>
      </c>
      <c r="T65" s="20"/>
      <c r="U65" s="237">
        <f>(M65-3000*12)*0.68</f>
        <v>697000</v>
      </c>
      <c r="V65" s="237">
        <f t="shared" si="12"/>
        <v>287000</v>
      </c>
      <c r="W65" s="18" t="s">
        <v>663</v>
      </c>
      <c r="X65" s="36" t="s">
        <v>741</v>
      </c>
    </row>
    <row r="66" spans="1:24" ht="31.5" x14ac:dyDescent="0.25">
      <c r="A66" s="19">
        <v>62</v>
      </c>
      <c r="B66" s="10" t="s">
        <v>770</v>
      </c>
      <c r="C66" s="234" t="s">
        <v>779</v>
      </c>
      <c r="D66" s="234" t="s">
        <v>473</v>
      </c>
      <c r="E66" s="234"/>
      <c r="F66" s="29" t="s">
        <v>780</v>
      </c>
      <c r="G66" s="157"/>
      <c r="H66" s="29"/>
      <c r="I66" s="10"/>
      <c r="J66" s="10"/>
      <c r="K66" s="10" t="s">
        <v>94</v>
      </c>
      <c r="L66" s="10" t="s">
        <v>572</v>
      </c>
      <c r="M66" s="214">
        <v>2643000</v>
      </c>
      <c r="N66" s="214">
        <v>2907300</v>
      </c>
      <c r="O66" s="10"/>
      <c r="P66" s="19" t="s">
        <v>781</v>
      </c>
      <c r="Q66" s="19"/>
      <c r="R66" s="165">
        <v>0.4</v>
      </c>
      <c r="S66" s="214">
        <f>(M66-3000*36)*0.4</f>
        <v>1014000</v>
      </c>
      <c r="T66" s="586"/>
      <c r="U66" s="220">
        <f>(M66-3000*36)*0.68</f>
        <v>1723800.0000000002</v>
      </c>
      <c r="V66" s="220">
        <f t="shared" si="12"/>
        <v>709800.00000000023</v>
      </c>
      <c r="W66" s="19" t="s">
        <v>663</v>
      </c>
      <c r="X66" s="23" t="s">
        <v>741</v>
      </c>
    </row>
    <row r="67" spans="1:24" ht="47.25" x14ac:dyDescent="0.25">
      <c r="A67" s="19">
        <v>63</v>
      </c>
      <c r="B67" s="10" t="s">
        <v>803</v>
      </c>
      <c r="C67" s="234" t="s">
        <v>699</v>
      </c>
      <c r="D67" s="234" t="s">
        <v>168</v>
      </c>
      <c r="E67" s="234"/>
      <c r="F67" s="29" t="s">
        <v>735</v>
      </c>
      <c r="G67" s="157" t="s">
        <v>816</v>
      </c>
      <c r="H67" s="29" t="s">
        <v>817</v>
      </c>
      <c r="I67" s="310" t="s">
        <v>702</v>
      </c>
      <c r="J67" s="10" t="s">
        <v>703</v>
      </c>
      <c r="K67" s="10" t="s">
        <v>83</v>
      </c>
      <c r="L67" s="10" t="s">
        <v>572</v>
      </c>
      <c r="M67" s="214">
        <v>2828000</v>
      </c>
      <c r="N67" s="214">
        <v>3110800</v>
      </c>
      <c r="O67" s="10"/>
      <c r="P67" s="19" t="s">
        <v>818</v>
      </c>
      <c r="Q67" s="19"/>
      <c r="R67" s="165">
        <v>0.4</v>
      </c>
      <c r="S67" s="214">
        <f>(M67-3000*36)*0.4</f>
        <v>1088000</v>
      </c>
      <c r="T67" s="26"/>
      <c r="U67" s="220">
        <f>(M67-3000*36)*0.68</f>
        <v>1849600.0000000002</v>
      </c>
      <c r="V67" s="220">
        <f t="shared" si="12"/>
        <v>761600.00000000023</v>
      </c>
      <c r="W67" s="19" t="s">
        <v>663</v>
      </c>
      <c r="X67" s="23" t="s">
        <v>741</v>
      </c>
    </row>
    <row r="68" spans="1:24" s="217" customFormat="1" ht="47.25" x14ac:dyDescent="0.25">
      <c r="A68" s="220">
        <v>64</v>
      </c>
      <c r="B68" s="239">
        <v>43501</v>
      </c>
      <c r="C68" s="240" t="s">
        <v>819</v>
      </c>
      <c r="D68" s="240" t="s">
        <v>474</v>
      </c>
      <c r="E68" s="240"/>
      <c r="F68" s="244" t="s">
        <v>820</v>
      </c>
      <c r="G68" s="242" t="s">
        <v>821</v>
      </c>
      <c r="H68" s="244" t="s">
        <v>338</v>
      </c>
      <c r="I68" s="296" t="s">
        <v>217</v>
      </c>
      <c r="J68" s="220" t="s">
        <v>822</v>
      </c>
      <c r="K68" s="220" t="s">
        <v>83</v>
      </c>
      <c r="L68" s="220" t="s">
        <v>572</v>
      </c>
      <c r="M68" s="214">
        <v>2828000</v>
      </c>
      <c r="N68" s="214">
        <v>3110800</v>
      </c>
      <c r="O68" s="220"/>
      <c r="P68" s="239">
        <v>44597</v>
      </c>
      <c r="Q68" s="220"/>
      <c r="R68" s="243">
        <v>0.4</v>
      </c>
      <c r="S68" s="214">
        <f>(M68-3000*36)*0.4</f>
        <v>1088000</v>
      </c>
      <c r="T68" s="376" t="s">
        <v>829</v>
      </c>
      <c r="U68" s="220">
        <f>(M68-3000*36)*0.68</f>
        <v>1849600.0000000002</v>
      </c>
      <c r="V68" s="220">
        <f t="shared" si="12"/>
        <v>761600.00000000023</v>
      </c>
      <c r="W68" s="220"/>
      <c r="X68" s="217" t="s">
        <v>823</v>
      </c>
    </row>
    <row r="69" spans="1:24" ht="47.25" x14ac:dyDescent="0.25">
      <c r="A69" s="19">
        <v>65</v>
      </c>
      <c r="B69" s="122">
        <v>43501</v>
      </c>
      <c r="C69" s="234" t="s">
        <v>824</v>
      </c>
      <c r="D69" s="234" t="s">
        <v>474</v>
      </c>
      <c r="E69" s="234"/>
      <c r="F69" s="29" t="s">
        <v>825</v>
      </c>
      <c r="G69" s="157" t="s">
        <v>826</v>
      </c>
      <c r="H69" s="29" t="s">
        <v>338</v>
      </c>
      <c r="I69" s="296" t="s">
        <v>217</v>
      </c>
      <c r="J69" s="10" t="s">
        <v>827</v>
      </c>
      <c r="K69" s="220" t="s">
        <v>83</v>
      </c>
      <c r="L69" s="220" t="s">
        <v>572</v>
      </c>
      <c r="M69" s="214">
        <v>2828000</v>
      </c>
      <c r="N69" s="214">
        <v>3110800</v>
      </c>
      <c r="O69" s="10"/>
      <c r="P69" s="239">
        <v>44597</v>
      </c>
      <c r="Q69" s="19"/>
      <c r="R69" s="243">
        <v>0.4</v>
      </c>
      <c r="S69" s="214">
        <f>(M69-3000*36)*0.4</f>
        <v>1088000</v>
      </c>
      <c r="T69" s="376" t="s">
        <v>828</v>
      </c>
      <c r="U69" s="220">
        <f>(M69-3000*36)*0.68</f>
        <v>1849600.0000000002</v>
      </c>
      <c r="V69" s="220">
        <f t="shared" si="12"/>
        <v>761600.00000000023</v>
      </c>
      <c r="W69" s="19"/>
      <c r="X69" s="217" t="s">
        <v>823</v>
      </c>
    </row>
    <row r="70" spans="1:24" ht="47.25" x14ac:dyDescent="0.25">
      <c r="A70" s="19">
        <v>66</v>
      </c>
      <c r="B70" s="122">
        <v>43501</v>
      </c>
      <c r="C70" s="234" t="s">
        <v>830</v>
      </c>
      <c r="D70" s="234" t="s">
        <v>474</v>
      </c>
      <c r="E70" s="234"/>
      <c r="F70" s="29" t="s">
        <v>831</v>
      </c>
      <c r="G70" s="157" t="s">
        <v>821</v>
      </c>
      <c r="H70" s="29" t="s">
        <v>338</v>
      </c>
      <c r="I70" s="296" t="s">
        <v>217</v>
      </c>
      <c r="J70" s="10" t="s">
        <v>832</v>
      </c>
      <c r="K70" s="220" t="s">
        <v>83</v>
      </c>
      <c r="L70" s="10" t="s">
        <v>572</v>
      </c>
      <c r="M70" s="214">
        <v>2828000</v>
      </c>
      <c r="N70" s="214">
        <v>3110800</v>
      </c>
      <c r="O70" s="10"/>
      <c r="P70" s="239">
        <v>44597</v>
      </c>
      <c r="Q70" s="19"/>
      <c r="R70" s="243">
        <v>0.4</v>
      </c>
      <c r="S70" s="214">
        <f>(M70-3000*36)*0.4</f>
        <v>1088000</v>
      </c>
      <c r="T70" s="376" t="s">
        <v>828</v>
      </c>
      <c r="U70" s="220">
        <f>(M70-3000*36)*0.68</f>
        <v>1849600.0000000002</v>
      </c>
      <c r="V70" s="220">
        <f t="shared" si="12"/>
        <v>761600.00000000023</v>
      </c>
      <c r="W70" s="19"/>
      <c r="X70" s="217" t="s">
        <v>823</v>
      </c>
    </row>
    <row r="71" spans="1:24" ht="47.25" x14ac:dyDescent="0.25">
      <c r="A71" s="19">
        <v>67</v>
      </c>
      <c r="B71" s="122">
        <v>43501</v>
      </c>
      <c r="C71" s="234" t="s">
        <v>833</v>
      </c>
      <c r="D71" s="234" t="s">
        <v>474</v>
      </c>
      <c r="E71" s="234"/>
      <c r="F71" s="29" t="s">
        <v>834</v>
      </c>
      <c r="G71" s="157" t="s">
        <v>835</v>
      </c>
      <c r="H71" s="29" t="s">
        <v>338</v>
      </c>
      <c r="I71" s="296" t="s">
        <v>217</v>
      </c>
      <c r="J71" s="10" t="s">
        <v>836</v>
      </c>
      <c r="K71" s="220" t="s">
        <v>83</v>
      </c>
      <c r="L71" s="10" t="s">
        <v>777</v>
      </c>
      <c r="M71" s="214">
        <v>1161000</v>
      </c>
      <c r="N71" s="214">
        <v>1827100</v>
      </c>
      <c r="O71" s="10"/>
      <c r="P71" s="22">
        <v>43866</v>
      </c>
      <c r="Q71" s="19"/>
      <c r="R71" s="165">
        <v>0.4</v>
      </c>
      <c r="S71" s="214">
        <f>(M71-3000*12)*0.4</f>
        <v>450000</v>
      </c>
      <c r="T71" s="26" t="s">
        <v>837</v>
      </c>
      <c r="U71" s="220">
        <f>(M71-3000*12)*0.68</f>
        <v>765000</v>
      </c>
      <c r="V71" s="220">
        <f t="shared" si="12"/>
        <v>315000</v>
      </c>
      <c r="W71" s="19"/>
      <c r="X71" s="217" t="s">
        <v>823</v>
      </c>
    </row>
    <row r="72" spans="1:24" ht="47.25" x14ac:dyDescent="0.25">
      <c r="A72" s="19">
        <v>68</v>
      </c>
      <c r="B72" s="122">
        <v>43621</v>
      </c>
      <c r="C72" s="234" t="s">
        <v>857</v>
      </c>
      <c r="D72" s="234" t="s">
        <v>858</v>
      </c>
      <c r="E72" s="234"/>
      <c r="F72" s="29" t="s">
        <v>859</v>
      </c>
      <c r="G72" s="157" t="s">
        <v>860</v>
      </c>
      <c r="H72" s="29" t="s">
        <v>861</v>
      </c>
      <c r="I72" s="10" t="s">
        <v>862</v>
      </c>
      <c r="J72" s="10" t="s">
        <v>863</v>
      </c>
      <c r="K72" s="10" t="s">
        <v>94</v>
      </c>
      <c r="L72" s="10" t="s">
        <v>572</v>
      </c>
      <c r="M72" s="214">
        <v>2643000</v>
      </c>
      <c r="N72" s="214">
        <v>2907300</v>
      </c>
      <c r="O72" s="10"/>
      <c r="P72" s="22">
        <v>45082</v>
      </c>
      <c r="Q72" s="19"/>
      <c r="R72" s="165">
        <v>0.3</v>
      </c>
      <c r="S72" s="214">
        <f>(M72-3000*36)*0.3</f>
        <v>760500</v>
      </c>
      <c r="T72" s="26"/>
      <c r="U72" s="220">
        <f>(M72-3000*36)*0.68</f>
        <v>1723800.0000000002</v>
      </c>
      <c r="V72" s="220">
        <f t="shared" si="12"/>
        <v>963300.00000000023</v>
      </c>
      <c r="W72" s="19" t="s">
        <v>1025</v>
      </c>
      <c r="X72" s="23" t="s">
        <v>864</v>
      </c>
    </row>
    <row r="73" spans="1:24" ht="63" x14ac:dyDescent="0.25">
      <c r="A73" s="19">
        <v>69</v>
      </c>
      <c r="B73" s="122">
        <v>43621</v>
      </c>
      <c r="C73" s="234" t="s">
        <v>865</v>
      </c>
      <c r="D73" s="234" t="s">
        <v>866</v>
      </c>
      <c r="E73" s="234"/>
      <c r="F73" s="29" t="s">
        <v>867</v>
      </c>
      <c r="G73" s="157" t="s">
        <v>868</v>
      </c>
      <c r="H73" s="29" t="s">
        <v>869</v>
      </c>
      <c r="I73" s="208" t="s">
        <v>870</v>
      </c>
      <c r="J73" s="10" t="s">
        <v>871</v>
      </c>
      <c r="K73" s="10" t="s">
        <v>83</v>
      </c>
      <c r="L73" s="10" t="s">
        <v>777</v>
      </c>
      <c r="M73" s="214">
        <v>1161000</v>
      </c>
      <c r="N73" s="214">
        <v>1827100</v>
      </c>
      <c r="O73" s="10"/>
      <c r="P73" s="22">
        <v>43987</v>
      </c>
      <c r="Q73" s="19"/>
      <c r="R73" s="165">
        <v>0.3</v>
      </c>
      <c r="S73" s="214">
        <f>(M73-3000*12)*0.3</f>
        <v>337500</v>
      </c>
      <c r="T73" s="26"/>
      <c r="U73" s="220">
        <f>(M73-3000*12)*0.68</f>
        <v>765000</v>
      </c>
      <c r="V73" s="220">
        <f t="shared" si="12"/>
        <v>427500</v>
      </c>
      <c r="W73" s="19" t="s">
        <v>898</v>
      </c>
      <c r="X73" s="23" t="s">
        <v>864</v>
      </c>
    </row>
    <row r="74" spans="1:24" ht="47.25" x14ac:dyDescent="0.25">
      <c r="A74" s="19">
        <v>70</v>
      </c>
      <c r="B74" s="122">
        <v>43682</v>
      </c>
      <c r="C74" s="234" t="s">
        <v>874</v>
      </c>
      <c r="D74" s="234" t="s">
        <v>562</v>
      </c>
      <c r="E74" s="234"/>
      <c r="F74" s="175" t="s">
        <v>875</v>
      </c>
      <c r="G74" s="157" t="s">
        <v>876</v>
      </c>
      <c r="H74" s="29" t="s">
        <v>877</v>
      </c>
      <c r="I74" s="10" t="s">
        <v>878</v>
      </c>
      <c r="J74" s="10" t="s">
        <v>879</v>
      </c>
      <c r="K74" s="10" t="s">
        <v>94</v>
      </c>
      <c r="L74" s="10" t="s">
        <v>572</v>
      </c>
      <c r="M74" s="214">
        <v>2643000</v>
      </c>
      <c r="N74" s="214">
        <v>2907300</v>
      </c>
      <c r="O74" s="10"/>
      <c r="P74" s="22">
        <v>44778</v>
      </c>
      <c r="Q74" s="19"/>
      <c r="R74" s="165">
        <v>0.4</v>
      </c>
      <c r="S74" s="214">
        <f>(M74-3000*36)*0.68</f>
        <v>1723800.0000000002</v>
      </c>
      <c r="T74" s="26"/>
      <c r="U74" s="220">
        <f>(M74-3000*36)*0.68</f>
        <v>1723800.0000000002</v>
      </c>
      <c r="V74" s="220">
        <f t="shared" si="12"/>
        <v>0</v>
      </c>
      <c r="W74" s="19" t="s">
        <v>899</v>
      </c>
      <c r="X74" s="23" t="s">
        <v>864</v>
      </c>
    </row>
    <row r="75" spans="1:24" ht="63" x14ac:dyDescent="0.25">
      <c r="A75" s="19">
        <v>71</v>
      </c>
      <c r="B75" s="122">
        <v>43713</v>
      </c>
      <c r="C75" s="234" t="s">
        <v>882</v>
      </c>
      <c r="D75" s="234" t="s">
        <v>473</v>
      </c>
      <c r="E75" s="234"/>
      <c r="F75" s="29" t="s">
        <v>883</v>
      </c>
      <c r="G75" s="157" t="s">
        <v>884</v>
      </c>
      <c r="H75" s="249" t="s">
        <v>885</v>
      </c>
      <c r="I75" s="10" t="s">
        <v>886</v>
      </c>
      <c r="J75" s="10"/>
      <c r="K75" s="10" t="s">
        <v>94</v>
      </c>
      <c r="L75" s="10" t="s">
        <v>777</v>
      </c>
      <c r="M75" s="214">
        <v>1061000</v>
      </c>
      <c r="N75" s="214">
        <v>1277100</v>
      </c>
      <c r="O75" s="10"/>
      <c r="P75" s="22">
        <v>44079</v>
      </c>
      <c r="Q75" s="19"/>
      <c r="R75" s="165">
        <v>0.4</v>
      </c>
      <c r="S75" s="214">
        <f>(M75-3000*12)*0.4</f>
        <v>410000</v>
      </c>
      <c r="T75" s="26"/>
      <c r="U75" s="220">
        <f>(M75-3000*12)*0.68</f>
        <v>697000</v>
      </c>
      <c r="V75" s="220">
        <f t="shared" si="12"/>
        <v>287000</v>
      </c>
      <c r="W75" s="19" t="s">
        <v>987</v>
      </c>
      <c r="X75" s="23" t="s">
        <v>864</v>
      </c>
    </row>
    <row r="76" spans="1:24" ht="78.75" x14ac:dyDescent="0.25">
      <c r="A76" s="19">
        <v>72</v>
      </c>
      <c r="B76" s="10" t="s">
        <v>901</v>
      </c>
      <c r="C76" s="234" t="s">
        <v>902</v>
      </c>
      <c r="D76" s="234" t="s">
        <v>473</v>
      </c>
      <c r="E76" s="234"/>
      <c r="F76" s="175" t="s">
        <v>903</v>
      </c>
      <c r="G76" s="157" t="s">
        <v>904</v>
      </c>
      <c r="H76" s="29" t="s">
        <v>905</v>
      </c>
      <c r="I76" s="10" t="s">
        <v>906</v>
      </c>
      <c r="J76" s="10" t="s">
        <v>907</v>
      </c>
      <c r="K76" s="10" t="s">
        <v>94</v>
      </c>
      <c r="L76" s="10" t="s">
        <v>572</v>
      </c>
      <c r="M76" s="214">
        <v>2643000</v>
      </c>
      <c r="N76" s="214">
        <v>2907300</v>
      </c>
      <c r="O76" s="10"/>
      <c r="P76" s="19" t="s">
        <v>908</v>
      </c>
      <c r="Q76" s="19"/>
      <c r="R76" s="165">
        <v>0.4</v>
      </c>
      <c r="S76" s="214">
        <f>((M76-3000*36)*0.4)</f>
        <v>1014000</v>
      </c>
      <c r="T76" s="26" t="s">
        <v>909</v>
      </c>
      <c r="U76" s="220">
        <f>(M76-3000*36)*0.68</f>
        <v>1723800.0000000002</v>
      </c>
      <c r="V76" s="220">
        <f t="shared" si="12"/>
        <v>709800.00000000023</v>
      </c>
      <c r="W76" s="19" t="s">
        <v>988</v>
      </c>
      <c r="X76" s="23" t="s">
        <v>864</v>
      </c>
    </row>
    <row r="77" spans="1:24" ht="47.25" x14ac:dyDescent="0.25">
      <c r="A77" s="19">
        <v>73</v>
      </c>
      <c r="B77" s="10" t="s">
        <v>917</v>
      </c>
      <c r="C77" s="234" t="s">
        <v>617</v>
      </c>
      <c r="D77" s="234"/>
      <c r="E77" s="234"/>
      <c r="F77" s="29" t="s">
        <v>918</v>
      </c>
      <c r="G77" s="157" t="s">
        <v>919</v>
      </c>
      <c r="H77" s="29" t="s">
        <v>920</v>
      </c>
      <c r="I77" s="10" t="s">
        <v>921</v>
      </c>
      <c r="J77" s="10" t="s">
        <v>922</v>
      </c>
      <c r="K77" s="10" t="s">
        <v>94</v>
      </c>
      <c r="L77" s="10" t="s">
        <v>572</v>
      </c>
      <c r="M77" s="214">
        <v>2643000</v>
      </c>
      <c r="N77" s="214">
        <v>2907300</v>
      </c>
      <c r="O77" s="10"/>
      <c r="P77" s="19" t="s">
        <v>923</v>
      </c>
      <c r="Q77" s="19"/>
      <c r="R77" s="19"/>
      <c r="S77" s="214">
        <v>107300</v>
      </c>
      <c r="T77" s="26" t="s">
        <v>924</v>
      </c>
      <c r="U77" s="220">
        <f>(M77-3000*36)*0.68</f>
        <v>1723800.0000000002</v>
      </c>
      <c r="V77" s="220">
        <f t="shared" si="12"/>
        <v>1616500.0000000002</v>
      </c>
      <c r="W77" s="19" t="s">
        <v>986</v>
      </c>
      <c r="X77" s="23" t="s">
        <v>864</v>
      </c>
    </row>
    <row r="78" spans="1:24" s="82" customFormat="1" ht="63" x14ac:dyDescent="0.25">
      <c r="A78" s="78">
        <v>74</v>
      </c>
      <c r="B78" s="78" t="s">
        <v>934</v>
      </c>
      <c r="C78" s="265" t="s">
        <v>935</v>
      </c>
      <c r="D78" s="265" t="s">
        <v>936</v>
      </c>
      <c r="E78" s="265"/>
      <c r="F78" s="275" t="s">
        <v>937</v>
      </c>
      <c r="G78" s="137" t="s">
        <v>938</v>
      </c>
      <c r="H78" s="275" t="s">
        <v>939</v>
      </c>
      <c r="I78" s="78" t="s">
        <v>768</v>
      </c>
      <c r="J78" s="78" t="s">
        <v>940</v>
      </c>
      <c r="K78" s="78" t="s">
        <v>83</v>
      </c>
      <c r="L78" s="78" t="s">
        <v>572</v>
      </c>
      <c r="M78" s="277">
        <v>2828000</v>
      </c>
      <c r="N78" s="277">
        <v>3110800</v>
      </c>
      <c r="O78" s="78"/>
      <c r="P78" s="78" t="s">
        <v>941</v>
      </c>
      <c r="Q78" s="78"/>
      <c r="R78" s="328">
        <v>0.4</v>
      </c>
      <c r="S78" s="277">
        <f>(M78-3000*36)*0.4</f>
        <v>1088000</v>
      </c>
      <c r="T78" s="587"/>
      <c r="U78" s="237">
        <f>(M78-3000*36)*0.68</f>
        <v>1849600.0000000002</v>
      </c>
      <c r="V78" s="216">
        <f>U78-S78</f>
        <v>761600.00000000023</v>
      </c>
      <c r="W78" s="78" t="s">
        <v>1037</v>
      </c>
      <c r="X78" s="82" t="s">
        <v>823</v>
      </c>
    </row>
    <row r="79" spans="1:24" ht="63" x14ac:dyDescent="0.25">
      <c r="A79" s="19">
        <v>75</v>
      </c>
      <c r="B79" s="10" t="s">
        <v>942</v>
      </c>
      <c r="C79" s="234" t="s">
        <v>943</v>
      </c>
      <c r="D79" s="234" t="s">
        <v>474</v>
      </c>
      <c r="E79" s="234"/>
      <c r="F79" s="29" t="s">
        <v>944</v>
      </c>
      <c r="G79" s="157" t="s">
        <v>945</v>
      </c>
      <c r="H79" s="29" t="s">
        <v>338</v>
      </c>
      <c r="I79" s="10" t="s">
        <v>217</v>
      </c>
      <c r="J79" s="10" t="s">
        <v>946</v>
      </c>
      <c r="K79" s="10" t="s">
        <v>83</v>
      </c>
      <c r="L79" s="10" t="s">
        <v>777</v>
      </c>
      <c r="M79" s="214">
        <v>1161000</v>
      </c>
      <c r="N79" s="214">
        <v>1827100</v>
      </c>
      <c r="O79" s="10"/>
      <c r="P79" s="19" t="s">
        <v>947</v>
      </c>
      <c r="Q79" s="19"/>
      <c r="R79" s="165">
        <v>0.4</v>
      </c>
      <c r="S79" s="214">
        <f>(M79-3000*12)*0.4</f>
        <v>450000</v>
      </c>
      <c r="T79" s="26" t="s">
        <v>948</v>
      </c>
      <c r="U79" s="220">
        <f t="shared" ref="U79:U112" si="13">(M79-3000*12)*0.68</f>
        <v>765000</v>
      </c>
      <c r="V79" s="219">
        <f t="shared" ref="V79:V143" si="14">U79-S79</f>
        <v>315000</v>
      </c>
      <c r="W79" s="19"/>
      <c r="X79" s="23" t="s">
        <v>949</v>
      </c>
    </row>
    <row r="80" spans="1:24" ht="47.25" x14ac:dyDescent="0.25">
      <c r="A80" s="19">
        <v>76</v>
      </c>
      <c r="B80" s="10" t="s">
        <v>952</v>
      </c>
      <c r="C80" s="234" t="s">
        <v>953</v>
      </c>
      <c r="D80" s="234" t="s">
        <v>954</v>
      </c>
      <c r="E80" s="234"/>
      <c r="F80" s="29" t="s">
        <v>955</v>
      </c>
      <c r="G80" s="157" t="s">
        <v>956</v>
      </c>
      <c r="H80" s="29" t="s">
        <v>957</v>
      </c>
      <c r="I80" s="10" t="s">
        <v>958</v>
      </c>
      <c r="J80" s="10" t="s">
        <v>959</v>
      </c>
      <c r="K80" s="10" t="s">
        <v>83</v>
      </c>
      <c r="L80" s="10" t="s">
        <v>572</v>
      </c>
      <c r="M80" s="214">
        <v>2828000</v>
      </c>
      <c r="N80" s="214">
        <v>3110800</v>
      </c>
      <c r="O80" s="10"/>
      <c r="P80" s="19" t="s">
        <v>960</v>
      </c>
      <c r="Q80" s="19"/>
      <c r="R80" s="165">
        <v>0.4</v>
      </c>
      <c r="S80" s="214">
        <f t="shared" ref="S80:S90" si="15">(M80-3000*36)*0.4</f>
        <v>1088000</v>
      </c>
      <c r="T80" s="26"/>
      <c r="U80" s="220">
        <f t="shared" ref="U80:U90" si="16">(M80-3000*36)*0.68</f>
        <v>1849600.0000000002</v>
      </c>
      <c r="V80" s="219">
        <f t="shared" si="14"/>
        <v>761600.00000000023</v>
      </c>
      <c r="W80" s="19" t="s">
        <v>964</v>
      </c>
      <c r="X80" s="23" t="s">
        <v>949</v>
      </c>
    </row>
    <row r="81" spans="1:30" ht="63" x14ac:dyDescent="0.25">
      <c r="A81" s="19">
        <v>77</v>
      </c>
      <c r="B81" s="10" t="s">
        <v>952</v>
      </c>
      <c r="C81" s="234" t="s">
        <v>961</v>
      </c>
      <c r="D81" s="234" t="s">
        <v>954</v>
      </c>
      <c r="E81" s="234"/>
      <c r="F81" s="29" t="s">
        <v>962</v>
      </c>
      <c r="G81" s="157" t="s">
        <v>963</v>
      </c>
      <c r="H81" s="29" t="s">
        <v>957</v>
      </c>
      <c r="I81" s="10" t="s">
        <v>958</v>
      </c>
      <c r="J81" s="10" t="s">
        <v>959</v>
      </c>
      <c r="K81" s="10" t="s">
        <v>83</v>
      </c>
      <c r="L81" s="10" t="s">
        <v>572</v>
      </c>
      <c r="M81" s="214">
        <v>2828000</v>
      </c>
      <c r="N81" s="214">
        <v>3110800</v>
      </c>
      <c r="O81" s="10"/>
      <c r="P81" s="19" t="s">
        <v>960</v>
      </c>
      <c r="Q81" s="19"/>
      <c r="R81" s="165">
        <v>0.4</v>
      </c>
      <c r="S81" s="214">
        <f t="shared" si="15"/>
        <v>1088000</v>
      </c>
      <c r="T81" s="26"/>
      <c r="U81" s="220">
        <f t="shared" si="16"/>
        <v>1849600.0000000002</v>
      </c>
      <c r="V81" s="219">
        <f t="shared" si="14"/>
        <v>761600.00000000023</v>
      </c>
      <c r="W81" s="19" t="s">
        <v>964</v>
      </c>
      <c r="X81" s="23" t="s">
        <v>949</v>
      </c>
    </row>
    <row r="82" spans="1:30" ht="63" x14ac:dyDescent="0.25">
      <c r="A82" s="19">
        <v>78</v>
      </c>
      <c r="B82" s="10" t="s">
        <v>965</v>
      </c>
      <c r="C82" s="234" t="s">
        <v>966</v>
      </c>
      <c r="D82" s="234" t="s">
        <v>562</v>
      </c>
      <c r="E82" s="234"/>
      <c r="F82" s="29" t="s">
        <v>967</v>
      </c>
      <c r="G82" s="157" t="s">
        <v>968</v>
      </c>
      <c r="H82" s="29" t="s">
        <v>969</v>
      </c>
      <c r="I82" s="10" t="s">
        <v>970</v>
      </c>
      <c r="J82" s="10" t="s">
        <v>971</v>
      </c>
      <c r="K82" s="10" t="s">
        <v>94</v>
      </c>
      <c r="L82" s="10" t="s">
        <v>572</v>
      </c>
      <c r="M82" s="214">
        <v>2643000</v>
      </c>
      <c r="N82" s="214">
        <v>2907300</v>
      </c>
      <c r="O82" s="10"/>
      <c r="P82" s="19" t="s">
        <v>972</v>
      </c>
      <c r="Q82" s="19"/>
      <c r="R82" s="165">
        <v>0.4</v>
      </c>
      <c r="S82" s="214">
        <f t="shared" si="15"/>
        <v>1014000</v>
      </c>
      <c r="T82" s="26" t="s">
        <v>973</v>
      </c>
      <c r="U82" s="220">
        <f t="shared" si="16"/>
        <v>1723800.0000000002</v>
      </c>
      <c r="V82" s="219">
        <f t="shared" si="14"/>
        <v>709800.00000000023</v>
      </c>
      <c r="W82" s="19" t="s">
        <v>1006</v>
      </c>
      <c r="X82" s="23" t="s">
        <v>949</v>
      </c>
    </row>
    <row r="83" spans="1:30" ht="31.5" x14ac:dyDescent="0.25">
      <c r="A83" s="19">
        <v>79</v>
      </c>
      <c r="B83" s="10" t="s">
        <v>989</v>
      </c>
      <c r="C83" s="250" t="s">
        <v>990</v>
      </c>
      <c r="D83" s="250" t="s">
        <v>457</v>
      </c>
      <c r="E83" s="625" t="s">
        <v>4615</v>
      </c>
      <c r="F83" s="29" t="s">
        <v>991</v>
      </c>
      <c r="G83" s="10" t="s">
        <v>992</v>
      </c>
      <c r="H83" s="249" t="s">
        <v>4835</v>
      </c>
      <c r="I83" s="157" t="s">
        <v>993</v>
      </c>
      <c r="J83" s="10" t="s">
        <v>994</v>
      </c>
      <c r="K83" s="10" t="s">
        <v>94</v>
      </c>
      <c r="L83" s="10" t="s">
        <v>572</v>
      </c>
      <c r="M83" s="214">
        <v>2643000</v>
      </c>
      <c r="N83" s="214">
        <v>2907300</v>
      </c>
      <c r="O83" s="10"/>
      <c r="P83" s="19" t="s">
        <v>995</v>
      </c>
      <c r="Q83" s="19"/>
      <c r="R83" s="165">
        <v>0.4</v>
      </c>
      <c r="S83" s="214">
        <f t="shared" si="15"/>
        <v>1014000</v>
      </c>
      <c r="T83" s="26"/>
      <c r="U83" s="220">
        <f t="shared" si="16"/>
        <v>1723800.0000000002</v>
      </c>
      <c r="V83" s="219">
        <f t="shared" si="14"/>
        <v>709800.00000000023</v>
      </c>
      <c r="W83" s="19" t="s">
        <v>1002</v>
      </c>
      <c r="X83" s="19" t="s">
        <v>949</v>
      </c>
      <c r="Y83" s="19"/>
      <c r="Z83" s="220">
        <f>T83*0.4</f>
        <v>0</v>
      </c>
      <c r="AA83" s="19"/>
      <c r="AB83" s="19">
        <f>T83*0.68</f>
        <v>0</v>
      </c>
      <c r="AC83" s="220">
        <f>AB83-Z83</f>
        <v>0</v>
      </c>
      <c r="AD83" s="19"/>
    </row>
    <row r="84" spans="1:30" ht="47.25" x14ac:dyDescent="0.25">
      <c r="A84" s="19">
        <v>80</v>
      </c>
      <c r="B84" s="10" t="s">
        <v>989</v>
      </c>
      <c r="C84" s="234" t="s">
        <v>996</v>
      </c>
      <c r="D84" s="234" t="s">
        <v>562</v>
      </c>
      <c r="E84" s="234"/>
      <c r="F84" s="29" t="s">
        <v>997</v>
      </c>
      <c r="G84" s="157" t="s">
        <v>998</v>
      </c>
      <c r="H84" s="29" t="s">
        <v>999</v>
      </c>
      <c r="I84" s="10" t="s">
        <v>1000</v>
      </c>
      <c r="J84" s="10" t="s">
        <v>1001</v>
      </c>
      <c r="K84" s="10" t="s">
        <v>94</v>
      </c>
      <c r="L84" s="10" t="s">
        <v>572</v>
      </c>
      <c r="M84" s="214">
        <v>2643000</v>
      </c>
      <c r="N84" s="214">
        <v>2907300</v>
      </c>
      <c r="O84" s="10"/>
      <c r="P84" s="19" t="s">
        <v>995</v>
      </c>
      <c r="Q84" s="19"/>
      <c r="R84" s="165">
        <v>0.4</v>
      </c>
      <c r="S84" s="214">
        <f t="shared" si="15"/>
        <v>1014000</v>
      </c>
      <c r="T84" s="26" t="s">
        <v>909</v>
      </c>
      <c r="U84" s="220">
        <f t="shared" si="16"/>
        <v>1723800.0000000002</v>
      </c>
      <c r="V84" s="219">
        <f t="shared" si="14"/>
        <v>709800.00000000023</v>
      </c>
      <c r="W84" s="19" t="s">
        <v>1007</v>
      </c>
      <c r="X84" s="23" t="s">
        <v>949</v>
      </c>
    </row>
    <row r="85" spans="1:30" s="217" customFormat="1" ht="47.25" x14ac:dyDescent="0.25">
      <c r="A85" s="220">
        <v>81</v>
      </c>
      <c r="B85" s="220" t="s">
        <v>1049</v>
      </c>
      <c r="C85" s="240" t="s">
        <v>1050</v>
      </c>
      <c r="D85" s="240" t="s">
        <v>954</v>
      </c>
      <c r="E85" s="240"/>
      <c r="F85" s="244" t="s">
        <v>1052</v>
      </c>
      <c r="G85" s="242" t="s">
        <v>1051</v>
      </c>
      <c r="H85" s="244" t="s">
        <v>1053</v>
      </c>
      <c r="I85" s="220" t="s">
        <v>710</v>
      </c>
      <c r="J85" s="220" t="s">
        <v>1054</v>
      </c>
      <c r="K85" s="220" t="s">
        <v>83</v>
      </c>
      <c r="L85" s="220" t="s">
        <v>572</v>
      </c>
      <c r="M85" s="214">
        <v>2828000</v>
      </c>
      <c r="N85" s="214">
        <v>3110800</v>
      </c>
      <c r="O85" s="220"/>
      <c r="P85" s="220" t="s">
        <v>1055</v>
      </c>
      <c r="Q85" s="220"/>
      <c r="R85" s="243">
        <v>0.4</v>
      </c>
      <c r="S85" s="214">
        <f>(M85-3000*36)*0.4</f>
        <v>1088000</v>
      </c>
      <c r="T85" s="376"/>
      <c r="U85" s="220">
        <f t="shared" si="16"/>
        <v>1849600.0000000002</v>
      </c>
      <c r="V85" s="219">
        <f t="shared" si="14"/>
        <v>761600.00000000023</v>
      </c>
      <c r="W85" s="220" t="s">
        <v>1240</v>
      </c>
      <c r="X85" s="217" t="s">
        <v>949</v>
      </c>
      <c r="Y85" s="217" t="s">
        <v>1056</v>
      </c>
    </row>
    <row r="86" spans="1:30" ht="63" x14ac:dyDescent="0.25">
      <c r="A86" s="19">
        <v>82</v>
      </c>
      <c r="B86" s="19" t="s">
        <v>1064</v>
      </c>
      <c r="C86" s="233" t="s">
        <v>1065</v>
      </c>
      <c r="D86" s="233" t="s">
        <v>562</v>
      </c>
      <c r="E86" s="233"/>
      <c r="F86" s="101" t="s">
        <v>1066</v>
      </c>
      <c r="G86" s="157" t="s">
        <v>1067</v>
      </c>
      <c r="H86" s="101" t="s">
        <v>1068</v>
      </c>
      <c r="I86" s="152" t="s">
        <v>1069</v>
      </c>
      <c r="J86" s="10" t="s">
        <v>1070</v>
      </c>
      <c r="K86" s="10" t="s">
        <v>94</v>
      </c>
      <c r="L86" s="19" t="s">
        <v>572</v>
      </c>
      <c r="M86" s="214">
        <v>2643000</v>
      </c>
      <c r="N86" s="214">
        <v>2907300</v>
      </c>
      <c r="O86" s="19"/>
      <c r="P86" s="19" t="s">
        <v>1071</v>
      </c>
      <c r="Q86" s="19"/>
      <c r="R86" s="165">
        <v>0.4</v>
      </c>
      <c r="S86" s="214">
        <f t="shared" si="15"/>
        <v>1014000</v>
      </c>
      <c r="T86" s="26"/>
      <c r="U86" s="220">
        <f t="shared" si="16"/>
        <v>1723800.0000000002</v>
      </c>
      <c r="V86" s="219">
        <f t="shared" si="14"/>
        <v>709800.00000000023</v>
      </c>
      <c r="W86" s="19" t="s">
        <v>1103</v>
      </c>
      <c r="X86" s="23" t="s">
        <v>1072</v>
      </c>
    </row>
    <row r="87" spans="1:30" ht="63" x14ac:dyDescent="0.25">
      <c r="A87" s="19">
        <v>83</v>
      </c>
      <c r="B87" s="19" t="s">
        <v>1064</v>
      </c>
      <c r="C87" s="233" t="s">
        <v>1073</v>
      </c>
      <c r="D87" s="233" t="s">
        <v>457</v>
      </c>
      <c r="E87" s="233"/>
      <c r="F87" s="101" t="s">
        <v>1074</v>
      </c>
      <c r="G87" s="157" t="s">
        <v>1075</v>
      </c>
      <c r="H87" s="101" t="s">
        <v>1076</v>
      </c>
      <c r="I87" s="19" t="s">
        <v>1077</v>
      </c>
      <c r="J87" s="10" t="s">
        <v>1078</v>
      </c>
      <c r="K87" s="10" t="s">
        <v>94</v>
      </c>
      <c r="L87" s="19" t="s">
        <v>572</v>
      </c>
      <c r="M87" s="214">
        <v>2643000</v>
      </c>
      <c r="N87" s="214">
        <v>2907300</v>
      </c>
      <c r="O87" s="19"/>
      <c r="P87" s="19" t="s">
        <v>1071</v>
      </c>
      <c r="Q87" s="19"/>
      <c r="R87" s="165">
        <v>0.4</v>
      </c>
      <c r="S87" s="214">
        <f t="shared" si="15"/>
        <v>1014000</v>
      </c>
      <c r="T87" s="26" t="s">
        <v>1079</v>
      </c>
      <c r="U87" s="220">
        <f t="shared" si="16"/>
        <v>1723800.0000000002</v>
      </c>
      <c r="V87" s="219">
        <f t="shared" si="14"/>
        <v>709800.00000000023</v>
      </c>
      <c r="W87" s="19" t="s">
        <v>1202</v>
      </c>
      <c r="X87" s="23" t="s">
        <v>1072</v>
      </c>
    </row>
    <row r="88" spans="1:30" ht="47.25" x14ac:dyDescent="0.25">
      <c r="A88" s="19">
        <v>84</v>
      </c>
      <c r="B88" s="19" t="s">
        <v>1064</v>
      </c>
      <c r="C88" s="233" t="s">
        <v>1080</v>
      </c>
      <c r="D88" s="233" t="s">
        <v>562</v>
      </c>
      <c r="E88" s="233"/>
      <c r="F88" s="101" t="s">
        <v>1081</v>
      </c>
      <c r="G88" s="157" t="s">
        <v>1082</v>
      </c>
      <c r="H88" s="101" t="s">
        <v>1083</v>
      </c>
      <c r="I88" s="19" t="s">
        <v>1085</v>
      </c>
      <c r="J88" s="10" t="s">
        <v>1084</v>
      </c>
      <c r="K88" s="10" t="s">
        <v>94</v>
      </c>
      <c r="L88" s="19" t="s">
        <v>572</v>
      </c>
      <c r="M88" s="214">
        <v>2643000</v>
      </c>
      <c r="N88" s="214">
        <v>2907300</v>
      </c>
      <c r="O88" s="19"/>
      <c r="P88" s="19" t="s">
        <v>1086</v>
      </c>
      <c r="Q88" s="19"/>
      <c r="R88" s="165">
        <v>0.4</v>
      </c>
      <c r="S88" s="214">
        <f t="shared" si="15"/>
        <v>1014000</v>
      </c>
      <c r="T88" s="26" t="s">
        <v>1079</v>
      </c>
      <c r="U88" s="220">
        <f t="shared" si="16"/>
        <v>1723800.0000000002</v>
      </c>
      <c r="V88" s="219">
        <f t="shared" si="14"/>
        <v>709800.00000000023</v>
      </c>
      <c r="W88" s="19" t="s">
        <v>1025</v>
      </c>
      <c r="X88" s="23" t="s">
        <v>1087</v>
      </c>
    </row>
    <row r="89" spans="1:30" ht="63" x14ac:dyDescent="0.25">
      <c r="A89" s="19">
        <v>85</v>
      </c>
      <c r="B89" s="19" t="s">
        <v>1088</v>
      </c>
      <c r="C89" s="233" t="s">
        <v>1080</v>
      </c>
      <c r="D89" s="233" t="s">
        <v>562</v>
      </c>
      <c r="E89" s="233"/>
      <c r="F89" s="101" t="s">
        <v>1091</v>
      </c>
      <c r="G89" s="157" t="s">
        <v>1090</v>
      </c>
      <c r="H89" s="101" t="s">
        <v>1092</v>
      </c>
      <c r="I89" s="19" t="s">
        <v>1093</v>
      </c>
      <c r="J89" s="10" t="s">
        <v>1094</v>
      </c>
      <c r="K89" s="10" t="s">
        <v>94</v>
      </c>
      <c r="L89" s="19" t="s">
        <v>572</v>
      </c>
      <c r="M89" s="214">
        <v>2643000</v>
      </c>
      <c r="N89" s="214">
        <v>2907300</v>
      </c>
      <c r="O89" s="19"/>
      <c r="P89" s="19" t="s">
        <v>1088</v>
      </c>
      <c r="Q89" s="19"/>
      <c r="R89" s="165">
        <v>0.4</v>
      </c>
      <c r="S89" s="214">
        <f t="shared" si="15"/>
        <v>1014000</v>
      </c>
      <c r="T89" s="26" t="s">
        <v>1079</v>
      </c>
      <c r="U89" s="220">
        <f t="shared" si="16"/>
        <v>1723800.0000000002</v>
      </c>
      <c r="V89" s="219">
        <f t="shared" si="14"/>
        <v>709800.00000000023</v>
      </c>
      <c r="W89" s="19" t="s">
        <v>1275</v>
      </c>
      <c r="X89" s="23" t="s">
        <v>933</v>
      </c>
    </row>
    <row r="90" spans="1:30" ht="47.25" x14ac:dyDescent="0.25">
      <c r="A90" s="19">
        <v>86</v>
      </c>
      <c r="B90" s="19" t="s">
        <v>1095</v>
      </c>
      <c r="C90" s="233" t="s">
        <v>1096</v>
      </c>
      <c r="D90" s="233" t="s">
        <v>562</v>
      </c>
      <c r="E90" s="233"/>
      <c r="F90" s="101" t="s">
        <v>1097</v>
      </c>
      <c r="G90" s="157" t="s">
        <v>1098</v>
      </c>
      <c r="H90" s="101" t="s">
        <v>1099</v>
      </c>
      <c r="I90" s="19" t="s">
        <v>1100</v>
      </c>
      <c r="J90" s="10" t="s">
        <v>1101</v>
      </c>
      <c r="K90" s="10" t="s">
        <v>94</v>
      </c>
      <c r="L90" s="19" t="s">
        <v>572</v>
      </c>
      <c r="M90" s="214">
        <v>2643000</v>
      </c>
      <c r="N90" s="214">
        <v>2907300</v>
      </c>
      <c r="O90" s="19"/>
      <c r="P90" s="340" t="s">
        <v>1102</v>
      </c>
      <c r="Q90" s="19"/>
      <c r="R90" s="165">
        <v>0.4</v>
      </c>
      <c r="S90" s="214">
        <f t="shared" si="15"/>
        <v>1014000</v>
      </c>
      <c r="T90" s="26"/>
      <c r="U90" s="220">
        <f t="shared" si="16"/>
        <v>1723800.0000000002</v>
      </c>
      <c r="V90" s="219">
        <f t="shared" si="14"/>
        <v>709800.00000000023</v>
      </c>
      <c r="W90" s="19" t="s">
        <v>899</v>
      </c>
      <c r="X90" s="23" t="s">
        <v>864</v>
      </c>
    </row>
    <row r="91" spans="1:30" ht="47.25" x14ac:dyDescent="0.25">
      <c r="A91" s="19">
        <v>87</v>
      </c>
      <c r="B91" s="19" t="s">
        <v>1137</v>
      </c>
      <c r="C91" s="233" t="s">
        <v>1151</v>
      </c>
      <c r="D91" s="233" t="s">
        <v>457</v>
      </c>
      <c r="E91" s="233"/>
      <c r="F91" s="101" t="s">
        <v>1152</v>
      </c>
      <c r="G91" s="157" t="s">
        <v>1153</v>
      </c>
      <c r="H91" s="101" t="s">
        <v>1156</v>
      </c>
      <c r="I91" s="19" t="s">
        <v>1155</v>
      </c>
      <c r="J91" s="10" t="s">
        <v>1154</v>
      </c>
      <c r="K91" s="10" t="s">
        <v>94</v>
      </c>
      <c r="L91" s="19" t="s">
        <v>777</v>
      </c>
      <c r="M91" s="214">
        <v>1061000</v>
      </c>
      <c r="N91" s="214">
        <v>1277100</v>
      </c>
      <c r="O91" s="19"/>
      <c r="P91" s="19" t="s">
        <v>1157</v>
      </c>
      <c r="Q91" s="19"/>
      <c r="R91" s="165">
        <v>0.4</v>
      </c>
      <c r="S91" s="214">
        <f>(M91-3000*12)*0.4</f>
        <v>410000</v>
      </c>
      <c r="T91" s="26"/>
      <c r="U91" s="220">
        <f t="shared" si="13"/>
        <v>697000</v>
      </c>
      <c r="V91" s="219">
        <f t="shared" si="14"/>
        <v>287000</v>
      </c>
      <c r="W91" s="19" t="s">
        <v>1265</v>
      </c>
      <c r="X91" s="23" t="s">
        <v>864</v>
      </c>
    </row>
    <row r="92" spans="1:30" ht="63" x14ac:dyDescent="0.25">
      <c r="A92" s="19">
        <v>88</v>
      </c>
      <c r="B92" s="19" t="s">
        <v>1137</v>
      </c>
      <c r="C92" s="233" t="s">
        <v>1158</v>
      </c>
      <c r="D92" s="233" t="s">
        <v>1209</v>
      </c>
      <c r="E92" s="233"/>
      <c r="F92" s="101" t="s">
        <v>1162</v>
      </c>
      <c r="G92" s="157" t="s">
        <v>1161</v>
      </c>
      <c r="H92" s="343" t="s">
        <v>1159</v>
      </c>
      <c r="I92" s="19" t="s">
        <v>1160</v>
      </c>
      <c r="J92" s="10" t="s">
        <v>1163</v>
      </c>
      <c r="K92" s="10" t="s">
        <v>83</v>
      </c>
      <c r="L92" s="19" t="s">
        <v>572</v>
      </c>
      <c r="M92" s="214">
        <v>2828000</v>
      </c>
      <c r="N92" s="214">
        <v>3110800</v>
      </c>
      <c r="O92" s="19"/>
      <c r="P92" s="19" t="s">
        <v>1164</v>
      </c>
      <c r="Q92" s="19"/>
      <c r="R92" s="19"/>
      <c r="S92" s="214">
        <v>1210000</v>
      </c>
      <c r="T92" s="26"/>
      <c r="U92" s="220">
        <f>(M92-3000*12)*0.68</f>
        <v>1898560.0000000002</v>
      </c>
      <c r="V92" s="219">
        <f t="shared" si="14"/>
        <v>688560.00000000023</v>
      </c>
      <c r="W92" s="19" t="s">
        <v>1239</v>
      </c>
      <c r="X92" s="23" t="s">
        <v>864</v>
      </c>
    </row>
    <row r="93" spans="1:30" ht="63" x14ac:dyDescent="0.25">
      <c r="A93" s="19">
        <v>89</v>
      </c>
      <c r="B93" s="19" t="s">
        <v>1165</v>
      </c>
      <c r="C93" s="233" t="s">
        <v>1166</v>
      </c>
      <c r="D93" s="233" t="s">
        <v>457</v>
      </c>
      <c r="E93" s="233"/>
      <c r="F93" s="101" t="s">
        <v>1167</v>
      </c>
      <c r="G93" s="157" t="s">
        <v>1168</v>
      </c>
      <c r="H93" s="101" t="s">
        <v>1076</v>
      </c>
      <c r="I93" s="19" t="s">
        <v>1077</v>
      </c>
      <c r="J93" s="10" t="s">
        <v>1169</v>
      </c>
      <c r="K93" s="10" t="s">
        <v>94</v>
      </c>
      <c r="L93" s="19" t="s">
        <v>572</v>
      </c>
      <c r="M93" s="214">
        <v>2643000</v>
      </c>
      <c r="N93" s="214">
        <v>2907300</v>
      </c>
      <c r="O93" s="19"/>
      <c r="P93" s="340" t="s">
        <v>1170</v>
      </c>
      <c r="Q93" s="19"/>
      <c r="R93" s="165">
        <v>0.4</v>
      </c>
      <c r="S93" s="214">
        <f>(M93-3000*36)*0.4</f>
        <v>1014000</v>
      </c>
      <c r="T93" s="26" t="s">
        <v>1186</v>
      </c>
      <c r="U93" s="220">
        <f t="shared" si="13"/>
        <v>1772760.0000000002</v>
      </c>
      <c r="V93" s="219">
        <f t="shared" si="14"/>
        <v>758760.00000000023</v>
      </c>
      <c r="W93" s="19" t="s">
        <v>1202</v>
      </c>
      <c r="X93" s="23" t="s">
        <v>864</v>
      </c>
    </row>
    <row r="94" spans="1:30" ht="47.25" x14ac:dyDescent="0.25">
      <c r="A94" s="19">
        <v>90</v>
      </c>
      <c r="B94" s="19" t="s">
        <v>1165</v>
      </c>
      <c r="C94" s="233" t="s">
        <v>1182</v>
      </c>
      <c r="D94" s="233" t="s">
        <v>562</v>
      </c>
      <c r="E94" s="233"/>
      <c r="F94" s="101" t="s">
        <v>1178</v>
      </c>
      <c r="G94" s="157" t="s">
        <v>1179</v>
      </c>
      <c r="H94" s="101" t="s">
        <v>1183</v>
      </c>
      <c r="I94" s="19" t="s">
        <v>1184</v>
      </c>
      <c r="J94" s="10" t="s">
        <v>1185</v>
      </c>
      <c r="K94" s="10" t="s">
        <v>94</v>
      </c>
      <c r="L94" s="19" t="s">
        <v>572</v>
      </c>
      <c r="M94" s="214">
        <v>2643000</v>
      </c>
      <c r="N94" s="214">
        <v>2907300</v>
      </c>
      <c r="O94" s="19"/>
      <c r="P94" s="340" t="s">
        <v>1170</v>
      </c>
      <c r="Q94" s="19"/>
      <c r="R94" s="165">
        <v>0.4</v>
      </c>
      <c r="S94" s="214">
        <f>(M94-3000*36)*0.4</f>
        <v>1014000</v>
      </c>
      <c r="T94" s="26" t="s">
        <v>1186</v>
      </c>
      <c r="U94" s="220">
        <f t="shared" si="13"/>
        <v>1772760.0000000002</v>
      </c>
      <c r="V94" s="219">
        <f t="shared" si="14"/>
        <v>758760.00000000023</v>
      </c>
      <c r="W94" s="19" t="s">
        <v>899</v>
      </c>
      <c r="X94" s="23" t="s">
        <v>933</v>
      </c>
    </row>
    <row r="95" spans="1:30" s="217" customFormat="1" ht="47.25" x14ac:dyDescent="0.25">
      <c r="A95" s="220">
        <v>91</v>
      </c>
      <c r="B95" s="239">
        <v>43531</v>
      </c>
      <c r="C95" s="240" t="s">
        <v>1197</v>
      </c>
      <c r="D95" s="240" t="s">
        <v>474</v>
      </c>
      <c r="E95" s="240"/>
      <c r="F95" s="244" t="s">
        <v>1198</v>
      </c>
      <c r="G95" s="242" t="s">
        <v>1199</v>
      </c>
      <c r="H95" s="244" t="s">
        <v>361</v>
      </c>
      <c r="I95" s="220" t="s">
        <v>217</v>
      </c>
      <c r="J95" s="220" t="s">
        <v>1200</v>
      </c>
      <c r="K95" s="220" t="s">
        <v>83</v>
      </c>
      <c r="L95" s="220" t="s">
        <v>572</v>
      </c>
      <c r="M95" s="214">
        <v>2828000</v>
      </c>
      <c r="N95" s="214">
        <v>3110800</v>
      </c>
      <c r="O95" s="220"/>
      <c r="P95" s="239">
        <v>44627</v>
      </c>
      <c r="Q95" s="220"/>
      <c r="R95" s="243">
        <v>0.4</v>
      </c>
      <c r="S95" s="214">
        <f>(M95-3000*36)*0.4</f>
        <v>1088000</v>
      </c>
      <c r="T95" s="376"/>
      <c r="U95" s="220">
        <f t="shared" si="13"/>
        <v>1898560.0000000002</v>
      </c>
      <c r="V95" s="219">
        <f t="shared" si="14"/>
        <v>810560.00000000023</v>
      </c>
      <c r="W95" s="220" t="s">
        <v>1725</v>
      </c>
      <c r="X95" s="217" t="s">
        <v>823</v>
      </c>
    </row>
    <row r="96" spans="1:30" ht="47.25" x14ac:dyDescent="0.25">
      <c r="A96" s="19">
        <v>92</v>
      </c>
      <c r="B96" s="22">
        <v>43562</v>
      </c>
      <c r="C96" s="233" t="s">
        <v>1203</v>
      </c>
      <c r="D96" s="233" t="s">
        <v>1204</v>
      </c>
      <c r="E96" s="233"/>
      <c r="F96" s="101" t="s">
        <v>1205</v>
      </c>
      <c r="G96" s="157" t="s">
        <v>1206</v>
      </c>
      <c r="H96" s="101" t="s">
        <v>1207</v>
      </c>
      <c r="I96" s="19" t="s">
        <v>1231</v>
      </c>
      <c r="J96" s="10" t="s">
        <v>1208</v>
      </c>
      <c r="K96" s="10" t="s">
        <v>83</v>
      </c>
      <c r="L96" s="19" t="s">
        <v>777</v>
      </c>
      <c r="M96" s="214">
        <v>1161000</v>
      </c>
      <c r="N96" s="214">
        <v>1827100</v>
      </c>
      <c r="O96" s="19"/>
      <c r="P96" s="22">
        <v>43928</v>
      </c>
      <c r="Q96" s="19"/>
      <c r="R96" s="165">
        <v>0.45</v>
      </c>
      <c r="S96" s="214">
        <f>(M96)*0.45</f>
        <v>522450</v>
      </c>
      <c r="T96" s="26">
        <f>N96-S96</f>
        <v>1304650</v>
      </c>
      <c r="U96" s="220">
        <f t="shared" si="13"/>
        <v>765000</v>
      </c>
      <c r="V96" s="219">
        <f t="shared" si="14"/>
        <v>242550</v>
      </c>
      <c r="W96" s="19" t="s">
        <v>1244</v>
      </c>
      <c r="X96" s="23" t="s">
        <v>949</v>
      </c>
    </row>
    <row r="97" spans="1:25" ht="47.25" x14ac:dyDescent="0.25">
      <c r="A97" s="19">
        <v>93</v>
      </c>
      <c r="B97" s="22">
        <v>43592</v>
      </c>
      <c r="C97" s="233" t="s">
        <v>1230</v>
      </c>
      <c r="D97" s="233" t="s">
        <v>562</v>
      </c>
      <c r="E97" s="233"/>
      <c r="F97" s="101" t="s">
        <v>1225</v>
      </c>
      <c r="G97" s="157" t="s">
        <v>1226</v>
      </c>
      <c r="H97" s="101" t="s">
        <v>1227</v>
      </c>
      <c r="I97" s="19" t="s">
        <v>1228</v>
      </c>
      <c r="J97" s="10" t="s">
        <v>1229</v>
      </c>
      <c r="K97" s="10" t="s">
        <v>94</v>
      </c>
      <c r="L97" s="19" t="s">
        <v>572</v>
      </c>
      <c r="M97" s="214">
        <v>2643000</v>
      </c>
      <c r="N97" s="214">
        <v>2907300</v>
      </c>
      <c r="O97" s="19"/>
      <c r="P97" s="22">
        <v>44688</v>
      </c>
      <c r="Q97" s="19"/>
      <c r="R97" s="165">
        <v>0.4</v>
      </c>
      <c r="S97" s="214">
        <f>(M97-3000*36)*0.4</f>
        <v>1014000</v>
      </c>
      <c r="T97" s="26" t="s">
        <v>1186</v>
      </c>
      <c r="U97" s="220">
        <f t="shared" si="13"/>
        <v>1772760.0000000002</v>
      </c>
      <c r="V97" s="219">
        <f t="shared" si="14"/>
        <v>758760.00000000023</v>
      </c>
      <c r="W97" s="19" t="s">
        <v>1242</v>
      </c>
      <c r="X97" s="23" t="s">
        <v>933</v>
      </c>
    </row>
    <row r="98" spans="1:25" ht="63" x14ac:dyDescent="0.25">
      <c r="A98" s="19">
        <v>94</v>
      </c>
      <c r="B98" s="22">
        <v>43623</v>
      </c>
      <c r="C98" s="233" t="s">
        <v>1232</v>
      </c>
      <c r="D98" s="233" t="s">
        <v>1233</v>
      </c>
      <c r="E98" s="233"/>
      <c r="F98" s="101" t="s">
        <v>1234</v>
      </c>
      <c r="G98" s="157" t="s">
        <v>1235</v>
      </c>
      <c r="H98" s="101" t="s">
        <v>1236</v>
      </c>
      <c r="I98" s="19" t="s">
        <v>1237</v>
      </c>
      <c r="J98" s="10" t="s">
        <v>1238</v>
      </c>
      <c r="K98" s="10" t="s">
        <v>94</v>
      </c>
      <c r="L98" s="19" t="s">
        <v>572</v>
      </c>
      <c r="M98" s="214">
        <v>2643000</v>
      </c>
      <c r="N98" s="214">
        <v>2907300</v>
      </c>
      <c r="O98" s="19"/>
      <c r="P98" s="22">
        <v>44719</v>
      </c>
      <c r="Q98" s="19"/>
      <c r="R98" s="165">
        <v>0.4</v>
      </c>
      <c r="S98" s="214">
        <f>(M98-3000*36)*0.4</f>
        <v>1014000</v>
      </c>
      <c r="T98" s="26" t="s">
        <v>1186</v>
      </c>
      <c r="U98" s="220">
        <f t="shared" si="13"/>
        <v>1772760.0000000002</v>
      </c>
      <c r="V98" s="219">
        <f t="shared" si="14"/>
        <v>758760.00000000023</v>
      </c>
      <c r="W98" s="19" t="s">
        <v>1247</v>
      </c>
      <c r="X98" s="23" t="s">
        <v>933</v>
      </c>
    </row>
    <row r="99" spans="1:25" ht="47.25" x14ac:dyDescent="0.25">
      <c r="A99" s="19">
        <v>95</v>
      </c>
      <c r="B99" s="19" t="s">
        <v>1266</v>
      </c>
      <c r="C99" s="233" t="s">
        <v>1267</v>
      </c>
      <c r="D99" s="233" t="s">
        <v>457</v>
      </c>
      <c r="E99" s="233"/>
      <c r="F99" s="101" t="s">
        <v>1268</v>
      </c>
      <c r="G99" s="157" t="s">
        <v>1269</v>
      </c>
      <c r="H99" s="101" t="s">
        <v>1270</v>
      </c>
      <c r="I99" s="19" t="s">
        <v>1271</v>
      </c>
      <c r="J99" s="10" t="s">
        <v>1272</v>
      </c>
      <c r="K99" s="10" t="s">
        <v>94</v>
      </c>
      <c r="L99" s="19" t="s">
        <v>777</v>
      </c>
      <c r="M99" s="214">
        <v>1161000</v>
      </c>
      <c r="N99" s="214">
        <v>1277100</v>
      </c>
      <c r="O99" s="19"/>
      <c r="P99" s="19" t="s">
        <v>1273</v>
      </c>
      <c r="Q99" s="19"/>
      <c r="R99" s="165">
        <v>0.4</v>
      </c>
      <c r="S99" s="214">
        <f>(M99-3000*12)*0.4</f>
        <v>450000</v>
      </c>
      <c r="T99" s="26" t="s">
        <v>1274</v>
      </c>
      <c r="U99" s="220">
        <f t="shared" si="13"/>
        <v>765000</v>
      </c>
      <c r="V99" s="220">
        <f t="shared" si="14"/>
        <v>315000</v>
      </c>
      <c r="W99" s="19" t="s">
        <v>1285</v>
      </c>
      <c r="X99" s="23" t="s">
        <v>864</v>
      </c>
    </row>
    <row r="100" spans="1:25" ht="47.25" x14ac:dyDescent="0.25">
      <c r="A100" s="19">
        <v>96</v>
      </c>
      <c r="B100" s="19" t="s">
        <v>1278</v>
      </c>
      <c r="C100" s="233" t="s">
        <v>758</v>
      </c>
      <c r="D100" s="233" t="s">
        <v>1279</v>
      </c>
      <c r="E100" s="233"/>
      <c r="F100" s="101" t="s">
        <v>759</v>
      </c>
      <c r="G100" s="157" t="s">
        <v>1280</v>
      </c>
      <c r="H100" s="101" t="s">
        <v>1281</v>
      </c>
      <c r="I100" s="19" t="s">
        <v>1282</v>
      </c>
      <c r="J100" s="10" t="s">
        <v>763</v>
      </c>
      <c r="K100" s="10" t="s">
        <v>94</v>
      </c>
      <c r="L100" s="19" t="s">
        <v>572</v>
      </c>
      <c r="M100" s="214">
        <v>2643000</v>
      </c>
      <c r="N100" s="214">
        <v>2907300</v>
      </c>
      <c r="O100" s="19"/>
      <c r="P100" s="19" t="s">
        <v>1283</v>
      </c>
      <c r="Q100" s="19"/>
      <c r="R100" s="165">
        <v>0.45</v>
      </c>
      <c r="S100" s="214">
        <f>(M100-3000*36)*0.45</f>
        <v>1140750</v>
      </c>
      <c r="T100" s="26">
        <f>N100-S100</f>
        <v>1766550</v>
      </c>
      <c r="U100" s="220">
        <f t="shared" si="13"/>
        <v>1772760.0000000002</v>
      </c>
      <c r="V100" s="220">
        <f t="shared" si="14"/>
        <v>632010.00000000023</v>
      </c>
      <c r="W100" s="19" t="s">
        <v>783</v>
      </c>
      <c r="X100" s="23" t="s">
        <v>864</v>
      </c>
    </row>
    <row r="101" spans="1:25" ht="47.25" x14ac:dyDescent="0.25">
      <c r="A101" s="19">
        <v>97</v>
      </c>
      <c r="B101" s="19" t="s">
        <v>1292</v>
      </c>
      <c r="C101" s="233" t="s">
        <v>1287</v>
      </c>
      <c r="D101" s="233" t="s">
        <v>474</v>
      </c>
      <c r="E101" s="233"/>
      <c r="F101" s="101" t="s">
        <v>1288</v>
      </c>
      <c r="G101" s="157" t="s">
        <v>1289</v>
      </c>
      <c r="H101" s="101" t="s">
        <v>1290</v>
      </c>
      <c r="I101" s="19" t="s">
        <v>217</v>
      </c>
      <c r="J101" s="10" t="s">
        <v>1291</v>
      </c>
      <c r="K101" s="10" t="s">
        <v>83</v>
      </c>
      <c r="L101" s="19" t="s">
        <v>777</v>
      </c>
      <c r="M101" s="214">
        <v>1161000</v>
      </c>
      <c r="N101" s="214">
        <v>1827100</v>
      </c>
      <c r="O101" s="19"/>
      <c r="P101" s="19" t="s">
        <v>1286</v>
      </c>
      <c r="Q101" s="19"/>
      <c r="R101" s="165">
        <v>0.4</v>
      </c>
      <c r="S101" s="214">
        <f>(M101-3000*12)*0.4</f>
        <v>450000</v>
      </c>
      <c r="T101" s="26" t="s">
        <v>1305</v>
      </c>
      <c r="U101" s="220">
        <f t="shared" si="13"/>
        <v>765000</v>
      </c>
      <c r="V101" s="220">
        <f t="shared" si="14"/>
        <v>315000</v>
      </c>
      <c r="W101" s="19" t="s">
        <v>1389</v>
      </c>
      <c r="X101" s="23" t="s">
        <v>864</v>
      </c>
    </row>
    <row r="102" spans="1:25" ht="31.5" x14ac:dyDescent="0.25">
      <c r="A102" s="19">
        <v>98</v>
      </c>
      <c r="B102" s="19" t="s">
        <v>1313</v>
      </c>
      <c r="C102" s="233" t="s">
        <v>1293</v>
      </c>
      <c r="D102" s="233" t="s">
        <v>954</v>
      </c>
      <c r="E102" s="233"/>
      <c r="F102" s="101" t="s">
        <v>1294</v>
      </c>
      <c r="G102" s="157" t="s">
        <v>1295</v>
      </c>
      <c r="H102" s="101" t="s">
        <v>407</v>
      </c>
      <c r="I102" s="19"/>
      <c r="J102" s="10" t="s">
        <v>1296</v>
      </c>
      <c r="K102" s="10" t="s">
        <v>83</v>
      </c>
      <c r="L102" s="19" t="s">
        <v>572</v>
      </c>
      <c r="M102" s="214">
        <v>2828000</v>
      </c>
      <c r="N102" s="214">
        <v>3110800</v>
      </c>
      <c r="O102" s="19"/>
      <c r="P102" s="19" t="s">
        <v>1286</v>
      </c>
      <c r="Q102" s="19"/>
      <c r="R102" s="165">
        <v>0.4</v>
      </c>
      <c r="S102" s="214">
        <f>(M102-3000*36)*0.4</f>
        <v>1088000</v>
      </c>
      <c r="T102" s="26"/>
      <c r="U102" s="220">
        <f t="shared" si="13"/>
        <v>1898560.0000000002</v>
      </c>
      <c r="V102" s="220">
        <f t="shared" si="14"/>
        <v>810560.00000000023</v>
      </c>
      <c r="W102" s="19"/>
      <c r="X102" s="23" t="s">
        <v>949</v>
      </c>
    </row>
    <row r="103" spans="1:25" ht="63" x14ac:dyDescent="0.25">
      <c r="A103" s="19">
        <v>99</v>
      </c>
      <c r="B103" s="19" t="s">
        <v>1314</v>
      </c>
      <c r="C103" s="233" t="s">
        <v>1298</v>
      </c>
      <c r="D103" s="233" t="s">
        <v>562</v>
      </c>
      <c r="E103" s="233"/>
      <c r="F103" s="101" t="s">
        <v>1297</v>
      </c>
      <c r="G103" s="157" t="s">
        <v>1299</v>
      </c>
      <c r="H103" s="101" t="s">
        <v>1300</v>
      </c>
      <c r="I103" s="19" t="s">
        <v>1301</v>
      </c>
      <c r="J103" s="10" t="s">
        <v>1302</v>
      </c>
      <c r="K103" s="10" t="s">
        <v>94</v>
      </c>
      <c r="L103" s="19" t="s">
        <v>756</v>
      </c>
      <c r="M103" s="214">
        <v>1992000</v>
      </c>
      <c r="N103" s="214">
        <v>2191200</v>
      </c>
      <c r="O103" s="19"/>
      <c r="P103" s="19" t="s">
        <v>1303</v>
      </c>
      <c r="Q103" s="19"/>
      <c r="R103" s="165">
        <v>0.4</v>
      </c>
      <c r="S103" s="214">
        <f>(M103-3000*24)*0.45</f>
        <v>864000</v>
      </c>
      <c r="T103" s="26" t="s">
        <v>1304</v>
      </c>
      <c r="U103" s="220">
        <f t="shared" si="13"/>
        <v>1330080</v>
      </c>
      <c r="V103" s="220">
        <f t="shared" si="14"/>
        <v>466080</v>
      </c>
      <c r="W103" s="19" t="s">
        <v>1455</v>
      </c>
      <c r="X103" s="23" t="s">
        <v>933</v>
      </c>
      <c r="Y103" s="246">
        <f>N103-S103</f>
        <v>1327200</v>
      </c>
    </row>
    <row r="104" spans="1:25" ht="47.25" x14ac:dyDescent="0.25">
      <c r="A104" s="19">
        <v>100</v>
      </c>
      <c r="B104" s="19" t="s">
        <v>1315</v>
      </c>
      <c r="C104" s="233" t="s">
        <v>1306</v>
      </c>
      <c r="D104" s="233" t="s">
        <v>474</v>
      </c>
      <c r="E104" s="233"/>
      <c r="F104" s="101" t="s">
        <v>1307</v>
      </c>
      <c r="G104" s="157" t="s">
        <v>1308</v>
      </c>
      <c r="H104" s="101" t="s">
        <v>363</v>
      </c>
      <c r="I104" s="19" t="s">
        <v>217</v>
      </c>
      <c r="J104" s="10" t="s">
        <v>1309</v>
      </c>
      <c r="K104" s="10" t="s">
        <v>83</v>
      </c>
      <c r="L104" s="19" t="s">
        <v>572</v>
      </c>
      <c r="M104" s="214">
        <v>2828000</v>
      </c>
      <c r="N104" s="214">
        <v>3110800</v>
      </c>
      <c r="O104" s="19"/>
      <c r="P104" s="19" t="s">
        <v>1310</v>
      </c>
      <c r="Q104" s="19"/>
      <c r="R104" s="165">
        <v>0.4</v>
      </c>
      <c r="S104" s="214">
        <f>(M104-3000*36)*0.4</f>
        <v>1088000</v>
      </c>
      <c r="T104" s="26"/>
      <c r="U104" s="220">
        <f t="shared" si="13"/>
        <v>1898560.0000000002</v>
      </c>
      <c r="V104" s="220">
        <f t="shared" si="14"/>
        <v>810560.00000000023</v>
      </c>
      <c r="W104" s="19" t="s">
        <v>1725</v>
      </c>
      <c r="X104" s="23" t="s">
        <v>949</v>
      </c>
    </row>
    <row r="105" spans="1:25" ht="47.25" x14ac:dyDescent="0.25">
      <c r="A105" s="19">
        <v>101</v>
      </c>
      <c r="B105" s="19" t="s">
        <v>1315</v>
      </c>
      <c r="C105" s="233" t="s">
        <v>1316</v>
      </c>
      <c r="D105" s="233" t="s">
        <v>479</v>
      </c>
      <c r="E105" s="233"/>
      <c r="F105" s="101" t="s">
        <v>1317</v>
      </c>
      <c r="G105" s="157" t="s">
        <v>1318</v>
      </c>
      <c r="H105" s="101" t="s">
        <v>461</v>
      </c>
      <c r="I105" s="19" t="s">
        <v>599</v>
      </c>
      <c r="J105" s="10" t="s">
        <v>1319</v>
      </c>
      <c r="K105" s="10" t="s">
        <v>83</v>
      </c>
      <c r="L105" s="19" t="s">
        <v>572</v>
      </c>
      <c r="M105" s="214">
        <v>2828000</v>
      </c>
      <c r="N105" s="214">
        <v>3110800</v>
      </c>
      <c r="O105" s="19"/>
      <c r="P105" s="19" t="s">
        <v>1320</v>
      </c>
      <c r="Q105" s="19"/>
      <c r="R105" s="165">
        <v>0.4</v>
      </c>
      <c r="S105" s="214">
        <f>(M105-3000*36)*0.4</f>
        <v>1088000</v>
      </c>
      <c r="T105" s="26"/>
      <c r="U105" s="220">
        <f t="shared" si="13"/>
        <v>1898560.0000000002</v>
      </c>
      <c r="V105" s="220">
        <f t="shared" si="14"/>
        <v>810560.00000000023</v>
      </c>
      <c r="W105" s="19" t="s">
        <v>1524</v>
      </c>
      <c r="X105" s="23" t="s">
        <v>949</v>
      </c>
    </row>
    <row r="106" spans="1:25" ht="47.25" x14ac:dyDescent="0.25">
      <c r="A106" s="19">
        <v>102</v>
      </c>
      <c r="B106" s="19" t="s">
        <v>1329</v>
      </c>
      <c r="C106" s="233" t="s">
        <v>1330</v>
      </c>
      <c r="D106" s="233" t="s">
        <v>562</v>
      </c>
      <c r="E106" s="233"/>
      <c r="F106" s="101" t="s">
        <v>1332</v>
      </c>
      <c r="G106" s="157" t="s">
        <v>1331</v>
      </c>
      <c r="H106" s="101" t="s">
        <v>1333</v>
      </c>
      <c r="I106" s="19" t="s">
        <v>1334</v>
      </c>
      <c r="J106" s="10" t="s">
        <v>1335</v>
      </c>
      <c r="K106" s="10" t="s">
        <v>94</v>
      </c>
      <c r="L106" s="19" t="s">
        <v>777</v>
      </c>
      <c r="M106" s="214">
        <v>1061000</v>
      </c>
      <c r="N106" s="214">
        <v>1277100</v>
      </c>
      <c r="O106" s="19"/>
      <c r="P106" s="19" t="s">
        <v>1336</v>
      </c>
      <c r="Q106" s="19"/>
      <c r="R106" s="165">
        <v>0.4</v>
      </c>
      <c r="S106" s="214">
        <f>(M106-3000*12)*0.4</f>
        <v>410000</v>
      </c>
      <c r="T106" s="26"/>
      <c r="U106" s="220">
        <f t="shared" si="13"/>
        <v>697000</v>
      </c>
      <c r="V106" s="220">
        <f t="shared" si="14"/>
        <v>287000</v>
      </c>
      <c r="W106" s="19" t="s">
        <v>663</v>
      </c>
      <c r="X106" s="23" t="s">
        <v>864</v>
      </c>
    </row>
    <row r="107" spans="1:25" ht="47.25" x14ac:dyDescent="0.25">
      <c r="A107" s="19">
        <v>103</v>
      </c>
      <c r="B107" s="19" t="s">
        <v>1329</v>
      </c>
      <c r="C107" s="233" t="s">
        <v>1337</v>
      </c>
      <c r="D107" s="233" t="s">
        <v>1340</v>
      </c>
      <c r="E107" s="233"/>
      <c r="F107" s="101" t="s">
        <v>1338</v>
      </c>
      <c r="G107" s="157" t="s">
        <v>1339</v>
      </c>
      <c r="H107" s="101" t="s">
        <v>1341</v>
      </c>
      <c r="I107" s="19" t="s">
        <v>1342</v>
      </c>
      <c r="J107" s="10" t="s">
        <v>1343</v>
      </c>
      <c r="K107" s="10" t="s">
        <v>180</v>
      </c>
      <c r="L107" s="19" t="s">
        <v>777</v>
      </c>
      <c r="M107" s="214">
        <v>1161000</v>
      </c>
      <c r="N107" s="214">
        <v>1827100</v>
      </c>
      <c r="O107" s="19"/>
      <c r="P107" s="19" t="s">
        <v>1344</v>
      </c>
      <c r="Q107" s="19"/>
      <c r="R107" s="19"/>
      <c r="S107" s="214">
        <v>327100</v>
      </c>
      <c r="T107" s="26"/>
      <c r="U107" s="220">
        <f t="shared" si="13"/>
        <v>765000</v>
      </c>
      <c r="V107" s="220">
        <f t="shared" si="14"/>
        <v>437900</v>
      </c>
      <c r="W107" s="19" t="s">
        <v>1364</v>
      </c>
      <c r="X107" s="23" t="s">
        <v>949</v>
      </c>
    </row>
    <row r="108" spans="1:25" ht="47.25" x14ac:dyDescent="0.25">
      <c r="A108" s="19">
        <v>104</v>
      </c>
      <c r="B108" s="19" t="s">
        <v>1329</v>
      </c>
      <c r="C108" s="233" t="s">
        <v>1345</v>
      </c>
      <c r="D108" s="233" t="s">
        <v>562</v>
      </c>
      <c r="E108" s="233"/>
      <c r="F108" s="101" t="s">
        <v>1346</v>
      </c>
      <c r="G108" s="157" t="s">
        <v>1347</v>
      </c>
      <c r="H108" s="101" t="s">
        <v>1348</v>
      </c>
      <c r="I108" s="19" t="s">
        <v>1349</v>
      </c>
      <c r="J108" s="10" t="s">
        <v>1350</v>
      </c>
      <c r="K108" s="10" t="s">
        <v>94</v>
      </c>
      <c r="L108" s="19" t="s">
        <v>572</v>
      </c>
      <c r="M108" s="214">
        <v>2643000</v>
      </c>
      <c r="N108" s="214">
        <v>2907300</v>
      </c>
      <c r="O108" s="19"/>
      <c r="P108" s="19" t="s">
        <v>1351</v>
      </c>
      <c r="Q108" s="19"/>
      <c r="R108" s="165">
        <v>0.4</v>
      </c>
      <c r="S108" s="214">
        <f>(M108-3000*36)*0.4</f>
        <v>1014000</v>
      </c>
      <c r="T108" s="26" t="s">
        <v>1079</v>
      </c>
      <c r="U108" s="220">
        <f t="shared" si="13"/>
        <v>1772760.0000000002</v>
      </c>
      <c r="V108" s="220">
        <f t="shared" si="14"/>
        <v>758760.00000000023</v>
      </c>
      <c r="W108" s="19" t="s">
        <v>1438</v>
      </c>
      <c r="X108" s="23" t="s">
        <v>864</v>
      </c>
    </row>
    <row r="109" spans="1:25" ht="78.75" x14ac:dyDescent="0.25">
      <c r="A109" s="19">
        <v>105</v>
      </c>
      <c r="B109" s="19" t="s">
        <v>1329</v>
      </c>
      <c r="C109" s="233" t="s">
        <v>1352</v>
      </c>
      <c r="D109" s="233" t="s">
        <v>562</v>
      </c>
      <c r="E109" s="233"/>
      <c r="F109" s="101" t="s">
        <v>1353</v>
      </c>
      <c r="G109" s="157" t="s">
        <v>1354</v>
      </c>
      <c r="H109" s="101" t="s">
        <v>1355</v>
      </c>
      <c r="I109" s="19" t="s">
        <v>1356</v>
      </c>
      <c r="J109" s="10" t="s">
        <v>1357</v>
      </c>
      <c r="K109" s="10" t="s">
        <v>94</v>
      </c>
      <c r="L109" s="19" t="s">
        <v>572</v>
      </c>
      <c r="M109" s="214">
        <v>2643000</v>
      </c>
      <c r="N109" s="214">
        <v>2907300</v>
      </c>
      <c r="O109" s="19"/>
      <c r="P109" s="19" t="s">
        <v>1351</v>
      </c>
      <c r="Q109" s="19"/>
      <c r="R109" s="165">
        <v>0.4</v>
      </c>
      <c r="S109" s="214">
        <f>(M109-3000*36)*0.4</f>
        <v>1014000</v>
      </c>
      <c r="T109" s="26"/>
      <c r="U109" s="220">
        <f t="shared" si="13"/>
        <v>1772760.0000000002</v>
      </c>
      <c r="V109" s="220">
        <f t="shared" si="14"/>
        <v>758760.00000000023</v>
      </c>
      <c r="W109" s="19" t="s">
        <v>663</v>
      </c>
      <c r="X109" s="23" t="s">
        <v>933</v>
      </c>
    </row>
    <row r="110" spans="1:25" ht="47.25" x14ac:dyDescent="0.25">
      <c r="A110" s="359">
        <v>106</v>
      </c>
      <c r="B110" s="359" t="s">
        <v>1329</v>
      </c>
      <c r="C110" s="360" t="s">
        <v>1358</v>
      </c>
      <c r="D110" s="360" t="s">
        <v>457</v>
      </c>
      <c r="E110" s="360"/>
      <c r="F110" s="361" t="s">
        <v>1359</v>
      </c>
      <c r="G110" s="362" t="s">
        <v>1360</v>
      </c>
      <c r="H110" s="361" t="s">
        <v>1361</v>
      </c>
      <c r="I110" s="359" t="s">
        <v>1362</v>
      </c>
      <c r="J110" s="356" t="s">
        <v>1363</v>
      </c>
      <c r="K110" s="356" t="s">
        <v>94</v>
      </c>
      <c r="L110" s="359" t="s">
        <v>572</v>
      </c>
      <c r="M110" s="364">
        <v>2643000</v>
      </c>
      <c r="N110" s="364">
        <v>2907300</v>
      </c>
      <c r="O110" s="359"/>
      <c r="P110" s="359" t="s">
        <v>1351</v>
      </c>
      <c r="Q110" s="359"/>
      <c r="R110" s="363">
        <v>0.4</v>
      </c>
      <c r="S110" s="364">
        <f>(M110-3000*36)*0.4</f>
        <v>1014000</v>
      </c>
      <c r="T110" s="588" t="s">
        <v>1079</v>
      </c>
      <c r="U110" s="365">
        <f>(M110-3000*36)*0.68</f>
        <v>1723800.0000000002</v>
      </c>
      <c r="V110" s="365">
        <f t="shared" si="14"/>
        <v>709800.00000000023</v>
      </c>
      <c r="W110" s="359" t="s">
        <v>1439</v>
      </c>
      <c r="X110" s="23" t="s">
        <v>864</v>
      </c>
    </row>
    <row r="111" spans="1:25" ht="47.25" x14ac:dyDescent="0.25">
      <c r="A111" s="19">
        <v>107</v>
      </c>
      <c r="B111" s="19" t="s">
        <v>1365</v>
      </c>
      <c r="C111" s="233" t="s">
        <v>1366</v>
      </c>
      <c r="D111" s="233" t="s">
        <v>457</v>
      </c>
      <c r="E111" s="233"/>
      <c r="F111" s="101" t="s">
        <v>1367</v>
      </c>
      <c r="G111" s="157" t="s">
        <v>1368</v>
      </c>
      <c r="H111" s="101" t="s">
        <v>1369</v>
      </c>
      <c r="I111" s="19" t="s">
        <v>1370</v>
      </c>
      <c r="J111" s="10" t="s">
        <v>1371</v>
      </c>
      <c r="K111" s="10" t="s">
        <v>94</v>
      </c>
      <c r="L111" s="19" t="s">
        <v>756</v>
      </c>
      <c r="M111" s="214">
        <v>1992000</v>
      </c>
      <c r="N111" s="214">
        <v>2191200</v>
      </c>
      <c r="O111" s="19"/>
      <c r="P111" s="19" t="s">
        <v>1372</v>
      </c>
      <c r="Q111" s="19"/>
      <c r="R111" s="165">
        <v>0.4</v>
      </c>
      <c r="S111" s="214">
        <f>(M111-3000*24)*0.4</f>
        <v>768000</v>
      </c>
      <c r="T111" s="26"/>
      <c r="U111" s="220">
        <f>(M111-3000*24)*0.68</f>
        <v>1305600</v>
      </c>
      <c r="V111" s="220">
        <f t="shared" si="14"/>
        <v>537600</v>
      </c>
      <c r="W111" s="19" t="s">
        <v>1373</v>
      </c>
      <c r="X111" s="19" t="s">
        <v>864</v>
      </c>
    </row>
    <row r="112" spans="1:25" ht="63" x14ac:dyDescent="0.25">
      <c r="A112" s="19">
        <v>108</v>
      </c>
      <c r="B112" s="19" t="s">
        <v>1365</v>
      </c>
      <c r="C112" s="233" t="s">
        <v>1374</v>
      </c>
      <c r="D112" s="233" t="s">
        <v>562</v>
      </c>
      <c r="E112" s="233"/>
      <c r="F112" s="101" t="s">
        <v>1375</v>
      </c>
      <c r="G112" s="157" t="s">
        <v>1376</v>
      </c>
      <c r="H112" s="101" t="s">
        <v>1377</v>
      </c>
      <c r="I112" s="19" t="s">
        <v>1378</v>
      </c>
      <c r="J112" s="10" t="s">
        <v>1379</v>
      </c>
      <c r="K112" s="10" t="s">
        <v>94</v>
      </c>
      <c r="L112" s="19" t="s">
        <v>777</v>
      </c>
      <c r="M112" s="214">
        <v>1061000</v>
      </c>
      <c r="N112" s="214">
        <v>1277100</v>
      </c>
      <c r="O112" s="19"/>
      <c r="P112" s="19" t="s">
        <v>1380</v>
      </c>
      <c r="Q112" s="19"/>
      <c r="R112" s="165">
        <v>0.4</v>
      </c>
      <c r="S112" s="214">
        <f>(M112-3000*12)*0.4</f>
        <v>410000</v>
      </c>
      <c r="T112" s="26"/>
      <c r="U112" s="220">
        <f t="shared" si="13"/>
        <v>697000</v>
      </c>
      <c r="V112" s="220">
        <f t="shared" si="14"/>
        <v>287000</v>
      </c>
      <c r="W112" s="19" t="s">
        <v>663</v>
      </c>
      <c r="X112" s="19" t="s">
        <v>864</v>
      </c>
    </row>
    <row r="113" spans="1:25" ht="47.25" x14ac:dyDescent="0.25">
      <c r="A113" s="19">
        <v>109</v>
      </c>
      <c r="B113" s="19" t="s">
        <v>1381</v>
      </c>
      <c r="C113" s="233" t="s">
        <v>1382</v>
      </c>
      <c r="D113" s="233" t="s">
        <v>562</v>
      </c>
      <c r="E113" s="233"/>
      <c r="F113" s="101" t="s">
        <v>1383</v>
      </c>
      <c r="G113" s="157" t="s">
        <v>1384</v>
      </c>
      <c r="H113" s="101" t="s">
        <v>1385</v>
      </c>
      <c r="I113" s="152" t="s">
        <v>1386</v>
      </c>
      <c r="J113" s="10" t="s">
        <v>1387</v>
      </c>
      <c r="K113" s="10" t="s">
        <v>94</v>
      </c>
      <c r="L113" s="19" t="s">
        <v>572</v>
      </c>
      <c r="M113" s="364">
        <v>2643000</v>
      </c>
      <c r="N113" s="364">
        <v>2907300</v>
      </c>
      <c r="O113" s="19"/>
      <c r="P113" s="19" t="s">
        <v>1388</v>
      </c>
      <c r="Q113" s="19"/>
      <c r="R113" s="165">
        <v>0.4</v>
      </c>
      <c r="S113" s="214">
        <f>(M113-3000*36)*0.4</f>
        <v>1014000</v>
      </c>
      <c r="T113" s="26" t="s">
        <v>1079</v>
      </c>
      <c r="U113" s="220">
        <f>(M113-3000*36)*0.68</f>
        <v>1723800.0000000002</v>
      </c>
      <c r="V113" s="220">
        <f t="shared" si="14"/>
        <v>709800.00000000023</v>
      </c>
      <c r="W113" s="19" t="s">
        <v>1423</v>
      </c>
      <c r="X113" s="19" t="s">
        <v>864</v>
      </c>
    </row>
    <row r="114" spans="1:25" ht="63" x14ac:dyDescent="0.25">
      <c r="A114" s="19">
        <v>110</v>
      </c>
      <c r="B114" s="19" t="s">
        <v>1390</v>
      </c>
      <c r="C114" s="233" t="s">
        <v>1424</v>
      </c>
      <c r="D114" s="233" t="s">
        <v>562</v>
      </c>
      <c r="E114" s="233"/>
      <c r="F114" s="101" t="s">
        <v>1425</v>
      </c>
      <c r="G114" s="157" t="s">
        <v>1426</v>
      </c>
      <c r="H114" s="101" t="s">
        <v>1427</v>
      </c>
      <c r="I114" s="19" t="s">
        <v>1428</v>
      </c>
      <c r="J114" s="10" t="s">
        <v>1429</v>
      </c>
      <c r="K114" s="10" t="s">
        <v>1430</v>
      </c>
      <c r="L114" s="19" t="s">
        <v>777</v>
      </c>
      <c r="M114" s="214">
        <v>1061000</v>
      </c>
      <c r="N114" s="214">
        <v>1277100</v>
      </c>
      <c r="O114" s="19"/>
      <c r="P114" s="19" t="s">
        <v>1398</v>
      </c>
      <c r="Q114" s="19"/>
      <c r="R114" s="165">
        <v>0.4</v>
      </c>
      <c r="S114" s="214">
        <f>(M114-3000*12)*0.4</f>
        <v>410000</v>
      </c>
      <c r="T114" s="26"/>
      <c r="U114" s="220">
        <f>(M114-3000*12)*0.68</f>
        <v>697000</v>
      </c>
      <c r="V114" s="220">
        <f t="shared" si="14"/>
        <v>287000</v>
      </c>
      <c r="W114" s="19" t="s">
        <v>1450</v>
      </c>
      <c r="X114" s="19" t="s">
        <v>864</v>
      </c>
    </row>
    <row r="115" spans="1:25" ht="47.25" x14ac:dyDescent="0.25">
      <c r="A115" s="19">
        <v>111</v>
      </c>
      <c r="B115" s="22">
        <v>43685</v>
      </c>
      <c r="C115" s="233" t="s">
        <v>1468</v>
      </c>
      <c r="D115" s="233" t="s">
        <v>457</v>
      </c>
      <c r="E115" s="233"/>
      <c r="F115" s="101" t="s">
        <v>1469</v>
      </c>
      <c r="G115" s="157" t="s">
        <v>1470</v>
      </c>
      <c r="H115" s="101" t="s">
        <v>1499</v>
      </c>
      <c r="I115" s="19" t="s">
        <v>1471</v>
      </c>
      <c r="J115" s="10" t="s">
        <v>1472</v>
      </c>
      <c r="K115" s="10" t="s">
        <v>94</v>
      </c>
      <c r="L115" s="19" t="s">
        <v>756</v>
      </c>
      <c r="M115" s="214">
        <v>1992000</v>
      </c>
      <c r="N115" s="214">
        <v>2191200</v>
      </c>
      <c r="O115" s="19"/>
      <c r="P115" s="22">
        <v>44418</v>
      </c>
      <c r="Q115" s="19"/>
      <c r="R115" s="165">
        <v>0.4</v>
      </c>
      <c r="S115" s="214">
        <f>(M115-3000*24)*0.4</f>
        <v>768000</v>
      </c>
      <c r="T115" s="26"/>
      <c r="U115" s="220">
        <f>(M115-3000*24)*0.68</f>
        <v>1305600</v>
      </c>
      <c r="V115" s="220">
        <f t="shared" si="14"/>
        <v>537600</v>
      </c>
      <c r="W115" s="19" t="s">
        <v>663</v>
      </c>
      <c r="X115" s="19" t="s">
        <v>864</v>
      </c>
    </row>
    <row r="116" spans="1:25" ht="47.25" x14ac:dyDescent="0.25">
      <c r="A116" s="19">
        <v>112</v>
      </c>
      <c r="B116" s="19" t="s">
        <v>1485</v>
      </c>
      <c r="C116" s="233" t="s">
        <v>1486</v>
      </c>
      <c r="D116" s="233" t="s">
        <v>1279</v>
      </c>
      <c r="E116" s="233"/>
      <c r="F116" s="101" t="s">
        <v>1487</v>
      </c>
      <c r="G116" s="157" t="s">
        <v>1488</v>
      </c>
      <c r="H116" s="101" t="s">
        <v>1489</v>
      </c>
      <c r="I116" s="19" t="s">
        <v>1490</v>
      </c>
      <c r="J116" s="10" t="s">
        <v>1491</v>
      </c>
      <c r="K116" s="10" t="s">
        <v>94</v>
      </c>
      <c r="L116" s="19" t="s">
        <v>572</v>
      </c>
      <c r="M116" s="214">
        <v>2643000</v>
      </c>
      <c r="N116" s="364">
        <v>2907300</v>
      </c>
      <c r="O116" s="19"/>
      <c r="P116" s="19" t="s">
        <v>1492</v>
      </c>
      <c r="Q116" s="19"/>
      <c r="R116" s="165">
        <v>0.45</v>
      </c>
      <c r="S116" s="214">
        <f>(M116-3000*36)*0.45</f>
        <v>1140750</v>
      </c>
      <c r="T116" s="26" t="s">
        <v>1079</v>
      </c>
      <c r="U116" s="220">
        <f>(M116-3000*36)*0.68</f>
        <v>1723800.0000000002</v>
      </c>
      <c r="V116" s="220">
        <f t="shared" si="14"/>
        <v>583050.00000000023</v>
      </c>
      <c r="W116" s="19" t="s">
        <v>663</v>
      </c>
      <c r="X116" s="19" t="s">
        <v>864</v>
      </c>
    </row>
    <row r="117" spans="1:25" s="7" customFormat="1" ht="63" x14ac:dyDescent="0.25">
      <c r="A117" s="10">
        <v>113</v>
      </c>
      <c r="B117" s="10" t="s">
        <v>1485</v>
      </c>
      <c r="C117" s="234" t="s">
        <v>1493</v>
      </c>
      <c r="D117" s="234" t="s">
        <v>1279</v>
      </c>
      <c r="E117" s="234"/>
      <c r="F117" s="29" t="s">
        <v>1495</v>
      </c>
      <c r="G117" s="157" t="s">
        <v>1494</v>
      </c>
      <c r="H117" s="29" t="s">
        <v>1496</v>
      </c>
      <c r="I117" s="10" t="s">
        <v>1497</v>
      </c>
      <c r="J117" s="10" t="s">
        <v>1498</v>
      </c>
      <c r="K117" s="10" t="s">
        <v>94</v>
      </c>
      <c r="L117" s="10" t="s">
        <v>572</v>
      </c>
      <c r="M117" s="214">
        <v>2643000</v>
      </c>
      <c r="N117" s="364">
        <v>2907300</v>
      </c>
      <c r="O117" s="10"/>
      <c r="P117" s="10" t="s">
        <v>1492</v>
      </c>
      <c r="Q117" s="10"/>
      <c r="R117" s="98">
        <v>0.45</v>
      </c>
      <c r="S117" s="214">
        <f>(M117-3000*36)*0.45</f>
        <v>1140750</v>
      </c>
      <c r="T117" s="38" t="s">
        <v>1079</v>
      </c>
      <c r="U117" s="220">
        <f>(M117-3000*36)*0.68</f>
        <v>1723800.0000000002</v>
      </c>
      <c r="V117" s="220">
        <f t="shared" si="14"/>
        <v>583050.00000000023</v>
      </c>
      <c r="W117" s="10" t="s">
        <v>663</v>
      </c>
      <c r="X117" s="10" t="s">
        <v>864</v>
      </c>
    </row>
    <row r="118" spans="1:25" s="7" customFormat="1" ht="63" x14ac:dyDescent="0.25">
      <c r="A118" s="10">
        <v>114</v>
      </c>
      <c r="B118" s="10" t="s">
        <v>1485</v>
      </c>
      <c r="C118" s="234" t="s">
        <v>1493</v>
      </c>
      <c r="D118" s="234" t="s">
        <v>1279</v>
      </c>
      <c r="E118" s="234"/>
      <c r="F118" s="29" t="s">
        <v>1495</v>
      </c>
      <c r="G118" s="157" t="s">
        <v>1494</v>
      </c>
      <c r="H118" s="29" t="s">
        <v>1496</v>
      </c>
      <c r="I118" s="10" t="s">
        <v>1497</v>
      </c>
      <c r="J118" s="10" t="s">
        <v>1498</v>
      </c>
      <c r="K118" s="10" t="s">
        <v>94</v>
      </c>
      <c r="L118" s="10" t="s">
        <v>572</v>
      </c>
      <c r="M118" s="214">
        <v>2643000</v>
      </c>
      <c r="N118" s="364">
        <v>2907300</v>
      </c>
      <c r="O118" s="10"/>
      <c r="P118" s="10" t="s">
        <v>1492</v>
      </c>
      <c r="Q118" s="10"/>
      <c r="R118" s="98">
        <v>0.45</v>
      </c>
      <c r="S118" s="214">
        <f>(M118-3000*36)*0.45</f>
        <v>1140750</v>
      </c>
      <c r="T118" s="38" t="s">
        <v>1079</v>
      </c>
      <c r="U118" s="220">
        <f>(M118-3000*36)*0.68</f>
        <v>1723800.0000000002</v>
      </c>
      <c r="V118" s="220">
        <f>U118-S118</f>
        <v>583050.00000000023</v>
      </c>
      <c r="W118" s="10" t="s">
        <v>663</v>
      </c>
      <c r="X118" s="10" t="s">
        <v>864</v>
      </c>
    </row>
    <row r="119" spans="1:25" s="82" customFormat="1" ht="78.75" x14ac:dyDescent="0.25">
      <c r="A119" s="78">
        <v>115</v>
      </c>
      <c r="B119" s="78" t="s">
        <v>1528</v>
      </c>
      <c r="C119" s="265" t="s">
        <v>1530</v>
      </c>
      <c r="D119" s="265" t="s">
        <v>1531</v>
      </c>
      <c r="E119" s="265"/>
      <c r="F119" s="275" t="s">
        <v>1532</v>
      </c>
      <c r="G119" s="137" t="s">
        <v>1533</v>
      </c>
      <c r="H119" s="275"/>
      <c r="I119" s="78" t="s">
        <v>1534</v>
      </c>
      <c r="J119" s="78" t="s">
        <v>1535</v>
      </c>
      <c r="K119" s="78" t="s">
        <v>83</v>
      </c>
      <c r="L119" s="78" t="s">
        <v>572</v>
      </c>
      <c r="M119" s="277">
        <v>2828000</v>
      </c>
      <c r="N119" s="277">
        <v>3110800</v>
      </c>
      <c r="O119" s="78"/>
      <c r="P119" s="78" t="s">
        <v>1536</v>
      </c>
      <c r="Q119" s="78"/>
      <c r="R119" s="78"/>
      <c r="S119" s="277">
        <v>1110800</v>
      </c>
      <c r="T119" s="587"/>
      <c r="U119" s="237">
        <f>(M119-3000*36)*0.68</f>
        <v>1849600.0000000002</v>
      </c>
      <c r="V119" s="237">
        <f t="shared" si="14"/>
        <v>738800.00000000023</v>
      </c>
      <c r="W119" s="78" t="s">
        <v>1586</v>
      </c>
      <c r="X119" s="78" t="s">
        <v>1546</v>
      </c>
    </row>
    <row r="120" spans="1:25" ht="47.25" x14ac:dyDescent="0.25">
      <c r="A120" s="10">
        <v>116</v>
      </c>
      <c r="B120" s="19" t="s">
        <v>1528</v>
      </c>
      <c r="C120" s="233" t="s">
        <v>1540</v>
      </c>
      <c r="D120" s="233" t="s">
        <v>473</v>
      </c>
      <c r="E120" s="233"/>
      <c r="F120" s="101" t="s">
        <v>1541</v>
      </c>
      <c r="G120" s="157" t="s">
        <v>1542</v>
      </c>
      <c r="H120" s="101" t="s">
        <v>1543</v>
      </c>
      <c r="I120" s="19" t="s">
        <v>1544</v>
      </c>
      <c r="J120" s="10" t="s">
        <v>1545</v>
      </c>
      <c r="K120" s="10" t="s">
        <v>83</v>
      </c>
      <c r="L120" s="19" t="s">
        <v>572</v>
      </c>
      <c r="M120" s="214">
        <v>2828000</v>
      </c>
      <c r="N120" s="214">
        <v>3110800</v>
      </c>
      <c r="O120" s="19"/>
      <c r="P120" s="19" t="s">
        <v>1536</v>
      </c>
      <c r="Q120" s="19"/>
      <c r="R120" s="165">
        <v>0.4</v>
      </c>
      <c r="S120" s="214">
        <f>(M120-3000*36)*0.4</f>
        <v>1088000</v>
      </c>
      <c r="T120" s="26" t="s">
        <v>1079</v>
      </c>
      <c r="U120" s="220">
        <f>(M120-3000*36)*0.68</f>
        <v>1849600.0000000002</v>
      </c>
      <c r="V120" s="220">
        <f t="shared" si="14"/>
        <v>761600.00000000023</v>
      </c>
      <c r="W120" s="19" t="s">
        <v>1617</v>
      </c>
      <c r="X120" s="19" t="s">
        <v>1547</v>
      </c>
    </row>
    <row r="121" spans="1:25" ht="63" x14ac:dyDescent="0.25">
      <c r="A121" s="10">
        <v>117</v>
      </c>
      <c r="B121" s="19" t="s">
        <v>1549</v>
      </c>
      <c r="C121" s="233" t="s">
        <v>1559</v>
      </c>
      <c r="D121" s="233" t="s">
        <v>1279</v>
      </c>
      <c r="E121" s="233"/>
      <c r="F121" s="101" t="s">
        <v>1560</v>
      </c>
      <c r="G121" s="157" t="s">
        <v>1561</v>
      </c>
      <c r="H121" s="101" t="s">
        <v>1562</v>
      </c>
      <c r="I121" s="19" t="s">
        <v>1563</v>
      </c>
      <c r="J121" s="10" t="s">
        <v>1564</v>
      </c>
      <c r="K121" s="10" t="s">
        <v>180</v>
      </c>
      <c r="L121" s="19" t="s">
        <v>572</v>
      </c>
      <c r="M121" s="214">
        <v>2828000</v>
      </c>
      <c r="N121" s="214">
        <v>3110800</v>
      </c>
      <c r="O121" s="19"/>
      <c r="P121" s="19" t="s">
        <v>1549</v>
      </c>
      <c r="Q121" s="19"/>
      <c r="R121" s="165">
        <v>0.45</v>
      </c>
      <c r="S121" s="214">
        <f>(M121-3000*36)*0.45</f>
        <v>1224000</v>
      </c>
      <c r="T121" s="26" t="s">
        <v>1079</v>
      </c>
      <c r="U121" s="220">
        <f t="shared" ref="U121:U131" si="17">(M121-3000*36)*0.68</f>
        <v>1849600.0000000002</v>
      </c>
      <c r="V121" s="220">
        <f t="shared" si="14"/>
        <v>625600.00000000023</v>
      </c>
      <c r="W121" s="19" t="s">
        <v>1618</v>
      </c>
      <c r="X121" s="19" t="s">
        <v>949</v>
      </c>
      <c r="Y121" s="246">
        <f>N121-S121</f>
        <v>1886800</v>
      </c>
    </row>
    <row r="122" spans="1:25" ht="63" x14ac:dyDescent="0.25">
      <c r="A122" s="19">
        <v>118</v>
      </c>
      <c r="B122" s="19" t="s">
        <v>1567</v>
      </c>
      <c r="C122" s="233" t="s">
        <v>1553</v>
      </c>
      <c r="D122" s="233" t="s">
        <v>474</v>
      </c>
      <c r="E122" s="233"/>
      <c r="F122" s="101" t="s">
        <v>1554</v>
      </c>
      <c r="G122" s="148" t="s">
        <v>1555</v>
      </c>
      <c r="H122" s="101" t="s">
        <v>338</v>
      </c>
      <c r="I122" s="19" t="s">
        <v>217</v>
      </c>
      <c r="J122" s="10" t="s">
        <v>1572</v>
      </c>
      <c r="K122" s="10" t="s">
        <v>83</v>
      </c>
      <c r="L122" s="19" t="s">
        <v>777</v>
      </c>
      <c r="M122" s="214">
        <v>1161000</v>
      </c>
      <c r="N122" s="214">
        <v>1827100</v>
      </c>
      <c r="O122" s="19"/>
      <c r="P122" s="19" t="s">
        <v>1573</v>
      </c>
      <c r="Q122" s="19"/>
      <c r="R122" s="165">
        <v>0.4</v>
      </c>
      <c r="S122" s="214">
        <f>(M122-3000*12)*0.4</f>
        <v>450000</v>
      </c>
      <c r="T122" s="26"/>
      <c r="U122" s="220">
        <f t="shared" si="17"/>
        <v>716040</v>
      </c>
      <c r="V122" s="220">
        <f t="shared" si="14"/>
        <v>266040</v>
      </c>
      <c r="W122" s="19" t="s">
        <v>1721</v>
      </c>
      <c r="X122" s="19" t="s">
        <v>949</v>
      </c>
    </row>
    <row r="123" spans="1:25" ht="78.75" x14ac:dyDescent="0.25">
      <c r="A123" s="19">
        <v>119</v>
      </c>
      <c r="B123" s="19" t="s">
        <v>1574</v>
      </c>
      <c r="C123" s="233" t="s">
        <v>1575</v>
      </c>
      <c r="D123" s="233" t="s">
        <v>562</v>
      </c>
      <c r="E123" s="233"/>
      <c r="F123" s="101" t="s">
        <v>1576</v>
      </c>
      <c r="G123" s="157" t="s">
        <v>1577</v>
      </c>
      <c r="H123" s="101" t="s">
        <v>1578</v>
      </c>
      <c r="I123" s="19" t="s">
        <v>1579</v>
      </c>
      <c r="J123" s="10" t="s">
        <v>1580</v>
      </c>
      <c r="K123" s="10" t="s">
        <v>94</v>
      </c>
      <c r="L123" s="19" t="s">
        <v>572</v>
      </c>
      <c r="M123" s="214">
        <v>2643000</v>
      </c>
      <c r="N123" s="364">
        <v>2907300</v>
      </c>
      <c r="O123" s="19"/>
      <c r="P123" s="19" t="s">
        <v>1581</v>
      </c>
      <c r="Q123" s="19"/>
      <c r="R123" s="165">
        <v>0.4</v>
      </c>
      <c r="S123" s="214">
        <f>(M123-3000*36)*0.4</f>
        <v>1014000</v>
      </c>
      <c r="T123" s="26" t="s">
        <v>1079</v>
      </c>
      <c r="U123" s="220">
        <f t="shared" si="17"/>
        <v>1723800.0000000002</v>
      </c>
      <c r="V123" s="220">
        <f t="shared" si="14"/>
        <v>709800.00000000023</v>
      </c>
      <c r="W123" s="19" t="s">
        <v>1747</v>
      </c>
      <c r="X123" s="19" t="s">
        <v>933</v>
      </c>
    </row>
    <row r="124" spans="1:25" s="217" customFormat="1" ht="47.25" x14ac:dyDescent="0.25">
      <c r="A124" s="220">
        <v>120</v>
      </c>
      <c r="B124" s="239">
        <v>43533</v>
      </c>
      <c r="C124" s="240" t="s">
        <v>1598</v>
      </c>
      <c r="D124" s="240" t="s">
        <v>474</v>
      </c>
      <c r="E124" s="240"/>
      <c r="F124" s="244" t="s">
        <v>1599</v>
      </c>
      <c r="G124" s="242" t="s">
        <v>1600</v>
      </c>
      <c r="H124" s="244" t="s">
        <v>338</v>
      </c>
      <c r="I124" s="220" t="s">
        <v>217</v>
      </c>
      <c r="J124" s="220" t="s">
        <v>1601</v>
      </c>
      <c r="K124" s="220" t="s">
        <v>83</v>
      </c>
      <c r="L124" s="220" t="s">
        <v>777</v>
      </c>
      <c r="M124" s="214">
        <v>1161000</v>
      </c>
      <c r="N124" s="214">
        <v>1827100</v>
      </c>
      <c r="O124" s="220"/>
      <c r="P124" s="239">
        <v>43899</v>
      </c>
      <c r="Q124" s="220"/>
      <c r="R124" s="243">
        <v>0.4</v>
      </c>
      <c r="S124" s="214">
        <f>(M124-3000*36)*0.4</f>
        <v>421200</v>
      </c>
      <c r="T124" s="376"/>
      <c r="U124" s="220">
        <f>(M124-3000*12)*0.68</f>
        <v>765000</v>
      </c>
      <c r="V124" s="220">
        <f t="shared" si="14"/>
        <v>343800</v>
      </c>
      <c r="W124" s="220" t="s">
        <v>1721</v>
      </c>
      <c r="X124" s="220" t="s">
        <v>949</v>
      </c>
    </row>
    <row r="125" spans="1:25" ht="63" x14ac:dyDescent="0.25">
      <c r="A125" s="19">
        <v>121</v>
      </c>
      <c r="B125" s="22">
        <v>43533</v>
      </c>
      <c r="C125" s="233" t="s">
        <v>513</v>
      </c>
      <c r="D125" s="233" t="s">
        <v>479</v>
      </c>
      <c r="E125" s="233"/>
      <c r="F125" s="101" t="s">
        <v>1603</v>
      </c>
      <c r="G125" s="157" t="s">
        <v>1602</v>
      </c>
      <c r="H125" s="233" t="s">
        <v>479</v>
      </c>
      <c r="I125" s="19"/>
      <c r="J125" s="10" t="s">
        <v>1604</v>
      </c>
      <c r="K125" s="10" t="s">
        <v>83</v>
      </c>
      <c r="L125" s="19" t="s">
        <v>572</v>
      </c>
      <c r="M125" s="214">
        <v>2643000</v>
      </c>
      <c r="N125" s="364">
        <v>2907300</v>
      </c>
      <c r="O125" s="19"/>
      <c r="P125" s="22">
        <v>44629</v>
      </c>
      <c r="Q125" s="19"/>
      <c r="R125" s="165">
        <v>0.4</v>
      </c>
      <c r="S125" s="214">
        <f>(M125-3000*36)*0.4</f>
        <v>1014000</v>
      </c>
      <c r="T125" s="26"/>
      <c r="U125" s="220">
        <f t="shared" si="17"/>
        <v>1723800.0000000002</v>
      </c>
      <c r="V125" s="220">
        <f t="shared" si="14"/>
        <v>709800.00000000023</v>
      </c>
      <c r="W125" s="19" t="s">
        <v>663</v>
      </c>
      <c r="X125" s="19" t="s">
        <v>949</v>
      </c>
    </row>
    <row r="126" spans="1:25" ht="47.25" x14ac:dyDescent="0.25">
      <c r="A126" s="19">
        <v>122</v>
      </c>
      <c r="B126" s="22">
        <v>43655</v>
      </c>
      <c r="C126" s="233" t="s">
        <v>1623</v>
      </c>
      <c r="D126" s="233" t="s">
        <v>457</v>
      </c>
      <c r="E126" s="233"/>
      <c r="F126" s="101" t="s">
        <v>1624</v>
      </c>
      <c r="G126" s="157" t="s">
        <v>1625</v>
      </c>
      <c r="H126" s="101" t="s">
        <v>1626</v>
      </c>
      <c r="I126" s="19" t="s">
        <v>1627</v>
      </c>
      <c r="J126" s="10" t="s">
        <v>1628</v>
      </c>
      <c r="K126" s="10" t="s">
        <v>83</v>
      </c>
      <c r="L126" s="19" t="s">
        <v>572</v>
      </c>
      <c r="M126" s="214">
        <v>2828000</v>
      </c>
      <c r="N126" s="214">
        <v>3110800</v>
      </c>
      <c r="O126" s="19"/>
      <c r="P126" s="22">
        <v>44751</v>
      </c>
      <c r="Q126" s="19"/>
      <c r="R126" s="165">
        <v>0.4</v>
      </c>
      <c r="S126" s="214">
        <f>(M126-3000*36)*0.4</f>
        <v>1088000</v>
      </c>
      <c r="T126" s="26" t="s">
        <v>1629</v>
      </c>
      <c r="U126" s="220">
        <f t="shared" si="17"/>
        <v>1849600.0000000002</v>
      </c>
      <c r="V126" s="220">
        <f t="shared" si="14"/>
        <v>761600.00000000023</v>
      </c>
      <c r="W126" s="19" t="s">
        <v>663</v>
      </c>
      <c r="X126" s="19" t="s">
        <v>1826</v>
      </c>
    </row>
    <row r="127" spans="1:25" s="36" customFormat="1" ht="47.25" x14ac:dyDescent="0.25">
      <c r="A127" s="18">
        <v>123</v>
      </c>
      <c r="B127" s="70">
        <v>43747</v>
      </c>
      <c r="C127" s="195" t="s">
        <v>1634</v>
      </c>
      <c r="D127" s="195" t="s">
        <v>1211</v>
      </c>
      <c r="E127" s="195"/>
      <c r="F127" s="379" t="s">
        <v>1636</v>
      </c>
      <c r="G127" s="137" t="s">
        <v>1635</v>
      </c>
      <c r="H127" s="379" t="s">
        <v>1211</v>
      </c>
      <c r="I127" s="18" t="s">
        <v>1637</v>
      </c>
      <c r="J127" s="78" t="s">
        <v>1638</v>
      </c>
      <c r="K127" s="78" t="s">
        <v>83</v>
      </c>
      <c r="L127" s="18" t="s">
        <v>572</v>
      </c>
      <c r="M127" s="214">
        <v>2828000</v>
      </c>
      <c r="N127" s="214">
        <v>3110800</v>
      </c>
      <c r="O127" s="18"/>
      <c r="P127" s="70">
        <v>43747</v>
      </c>
      <c r="Q127" s="18"/>
      <c r="R127" s="87">
        <v>0.4</v>
      </c>
      <c r="S127" s="277">
        <f>(M127-3000*36)*0.4</f>
        <v>1088000</v>
      </c>
      <c r="T127" s="20"/>
      <c r="U127" s="237">
        <f t="shared" si="17"/>
        <v>1849600.0000000002</v>
      </c>
      <c r="V127" s="237">
        <f t="shared" si="14"/>
        <v>761600.00000000023</v>
      </c>
      <c r="W127" s="18" t="s">
        <v>1641</v>
      </c>
      <c r="X127" s="18" t="s">
        <v>949</v>
      </c>
    </row>
    <row r="128" spans="1:25" ht="47.25" x14ac:dyDescent="0.25">
      <c r="A128" s="19">
        <v>124</v>
      </c>
      <c r="B128" s="22">
        <v>43747</v>
      </c>
      <c r="C128" s="233" t="s">
        <v>1642</v>
      </c>
      <c r="D128" s="233" t="s">
        <v>473</v>
      </c>
      <c r="E128" s="233"/>
      <c r="F128" s="101" t="s">
        <v>1644</v>
      </c>
      <c r="G128" s="157" t="s">
        <v>1643</v>
      </c>
      <c r="H128" s="101" t="s">
        <v>1645</v>
      </c>
      <c r="I128" s="381" t="s">
        <v>1646</v>
      </c>
      <c r="J128" s="10" t="s">
        <v>1647</v>
      </c>
      <c r="K128" s="10" t="s">
        <v>94</v>
      </c>
      <c r="L128" s="19" t="s">
        <v>572</v>
      </c>
      <c r="M128" s="214">
        <v>2643000</v>
      </c>
      <c r="N128" s="364">
        <v>2907300</v>
      </c>
      <c r="O128" s="19"/>
      <c r="P128" s="22">
        <v>44843</v>
      </c>
      <c r="Q128" s="19"/>
      <c r="R128" s="165">
        <v>0.4</v>
      </c>
      <c r="S128" s="214">
        <f t="shared" ref="S128:S136" si="18">(M128-3000*36)*0.4</f>
        <v>1014000</v>
      </c>
      <c r="T128" s="26" t="s">
        <v>1648</v>
      </c>
      <c r="U128" s="220">
        <f t="shared" si="17"/>
        <v>1723800.0000000002</v>
      </c>
      <c r="V128" s="220">
        <f t="shared" si="14"/>
        <v>709800.00000000023</v>
      </c>
      <c r="W128" s="19" t="s">
        <v>1857</v>
      </c>
      <c r="X128" s="19" t="s">
        <v>566</v>
      </c>
    </row>
    <row r="129" spans="1:24" ht="47.25" x14ac:dyDescent="0.25">
      <c r="A129" s="19">
        <v>125</v>
      </c>
      <c r="B129" s="22">
        <v>43778</v>
      </c>
      <c r="C129" s="233" t="s">
        <v>1655</v>
      </c>
      <c r="D129" s="233" t="s">
        <v>562</v>
      </c>
      <c r="E129" s="233"/>
      <c r="F129" s="101" t="s">
        <v>1656</v>
      </c>
      <c r="G129" s="157" t="s">
        <v>1657</v>
      </c>
      <c r="H129" s="101" t="s">
        <v>1658</v>
      </c>
      <c r="I129" s="381" t="s">
        <v>1659</v>
      </c>
      <c r="J129" s="10" t="s">
        <v>1660</v>
      </c>
      <c r="K129" s="10" t="s">
        <v>94</v>
      </c>
      <c r="L129" s="19" t="s">
        <v>572</v>
      </c>
      <c r="M129" s="214">
        <v>2643000</v>
      </c>
      <c r="N129" s="364">
        <v>2907300</v>
      </c>
      <c r="O129" s="19"/>
      <c r="P129" s="22">
        <v>44874</v>
      </c>
      <c r="Q129" s="19"/>
      <c r="R129" s="165">
        <v>0.4</v>
      </c>
      <c r="S129" s="214">
        <f t="shared" si="18"/>
        <v>1014000</v>
      </c>
      <c r="T129" s="26" t="s">
        <v>1648</v>
      </c>
      <c r="U129" s="220">
        <f t="shared" si="17"/>
        <v>1723800.0000000002</v>
      </c>
      <c r="V129" s="220">
        <f t="shared" si="14"/>
        <v>709800.00000000023</v>
      </c>
      <c r="W129" s="19" t="s">
        <v>1661</v>
      </c>
      <c r="X129" s="19" t="s">
        <v>566</v>
      </c>
    </row>
    <row r="130" spans="1:24" ht="47.25" x14ac:dyDescent="0.25">
      <c r="A130" s="19">
        <v>126</v>
      </c>
      <c r="B130" s="22">
        <v>43443</v>
      </c>
      <c r="C130" s="233" t="s">
        <v>1662</v>
      </c>
      <c r="D130" s="233" t="s">
        <v>473</v>
      </c>
      <c r="E130" s="233"/>
      <c r="F130" s="101" t="s">
        <v>1663</v>
      </c>
      <c r="G130" s="157" t="s">
        <v>1664</v>
      </c>
      <c r="H130" s="101" t="s">
        <v>1665</v>
      </c>
      <c r="I130" s="381" t="s">
        <v>1666</v>
      </c>
      <c r="J130" s="10" t="s">
        <v>1667</v>
      </c>
      <c r="K130" s="10" t="s">
        <v>94</v>
      </c>
      <c r="L130" s="19" t="s">
        <v>572</v>
      </c>
      <c r="M130" s="214">
        <v>2643000</v>
      </c>
      <c r="N130" s="364">
        <v>2907300</v>
      </c>
      <c r="O130" s="19"/>
      <c r="P130" s="22">
        <v>44904</v>
      </c>
      <c r="Q130" s="19"/>
      <c r="R130" s="165">
        <v>0.4</v>
      </c>
      <c r="S130" s="214">
        <f t="shared" si="18"/>
        <v>1014000</v>
      </c>
      <c r="T130" s="26" t="s">
        <v>1668</v>
      </c>
      <c r="U130" s="220">
        <f t="shared" si="17"/>
        <v>1723800.0000000002</v>
      </c>
      <c r="V130" s="220">
        <f t="shared" si="14"/>
        <v>709800.00000000023</v>
      </c>
      <c r="W130" s="19" t="s">
        <v>663</v>
      </c>
      <c r="X130" s="19" t="s">
        <v>566</v>
      </c>
    </row>
    <row r="131" spans="1:24" ht="47.25" x14ac:dyDescent="0.25">
      <c r="A131" s="19">
        <v>127</v>
      </c>
      <c r="B131" s="22">
        <v>43808</v>
      </c>
      <c r="C131" s="233" t="s">
        <v>1669</v>
      </c>
      <c r="D131" s="233" t="s">
        <v>562</v>
      </c>
      <c r="E131" s="233"/>
      <c r="F131" s="101" t="s">
        <v>1670</v>
      </c>
      <c r="G131" s="157" t="s">
        <v>1671</v>
      </c>
      <c r="H131" s="101" t="s">
        <v>1672</v>
      </c>
      <c r="I131" s="381" t="s">
        <v>1673</v>
      </c>
      <c r="J131" s="10" t="s">
        <v>1674</v>
      </c>
      <c r="K131" s="10" t="s">
        <v>94</v>
      </c>
      <c r="L131" s="19" t="s">
        <v>572</v>
      </c>
      <c r="M131" s="214">
        <v>2643000</v>
      </c>
      <c r="N131" s="364">
        <v>2907300</v>
      </c>
      <c r="O131" s="19"/>
      <c r="P131" s="22">
        <v>44904</v>
      </c>
      <c r="Q131" s="19"/>
      <c r="R131" s="165">
        <v>0.4</v>
      </c>
      <c r="S131" s="214">
        <f t="shared" si="18"/>
        <v>1014000</v>
      </c>
      <c r="T131" s="26" t="s">
        <v>1675</v>
      </c>
      <c r="U131" s="220">
        <f t="shared" si="17"/>
        <v>1723800.0000000002</v>
      </c>
      <c r="V131" s="220">
        <f t="shared" si="14"/>
        <v>709800.00000000023</v>
      </c>
      <c r="W131" s="19" t="s">
        <v>663</v>
      </c>
      <c r="X131" s="19" t="s">
        <v>566</v>
      </c>
    </row>
    <row r="132" spans="1:24" ht="63" x14ac:dyDescent="0.25">
      <c r="A132" s="19">
        <v>128</v>
      </c>
      <c r="B132" s="19" t="s">
        <v>1677</v>
      </c>
      <c r="C132" s="233" t="s">
        <v>1678</v>
      </c>
      <c r="D132" s="233" t="s">
        <v>473</v>
      </c>
      <c r="E132" s="233"/>
      <c r="F132" s="101" t="s">
        <v>1680</v>
      </c>
      <c r="G132" s="157" t="s">
        <v>1679</v>
      </c>
      <c r="H132" s="101" t="s">
        <v>1681</v>
      </c>
      <c r="I132" s="381" t="s">
        <v>1682</v>
      </c>
      <c r="J132" s="10" t="s">
        <v>1683</v>
      </c>
      <c r="K132" s="10" t="s">
        <v>94</v>
      </c>
      <c r="L132" s="19" t="s">
        <v>777</v>
      </c>
      <c r="M132" s="214">
        <v>1161000</v>
      </c>
      <c r="N132" s="214">
        <v>1277100</v>
      </c>
      <c r="O132" s="19"/>
      <c r="P132" s="19" t="s">
        <v>1684</v>
      </c>
      <c r="Q132" s="19"/>
      <c r="R132" s="165">
        <v>0.4</v>
      </c>
      <c r="S132" s="214">
        <f>(M132-3000*12)*0.4</f>
        <v>450000</v>
      </c>
      <c r="T132" s="26"/>
      <c r="U132" s="220">
        <f>(M132-3000*12)*0.68</f>
        <v>765000</v>
      </c>
      <c r="V132" s="220">
        <f t="shared" si="14"/>
        <v>315000</v>
      </c>
      <c r="W132" s="19" t="s">
        <v>663</v>
      </c>
      <c r="X132" s="19" t="s">
        <v>566</v>
      </c>
    </row>
    <row r="133" spans="1:24" ht="31.5" x14ac:dyDescent="0.25">
      <c r="A133" s="19">
        <v>129</v>
      </c>
      <c r="B133" s="22">
        <v>43808</v>
      </c>
      <c r="C133" s="233" t="s">
        <v>1685</v>
      </c>
      <c r="D133" s="233" t="s">
        <v>1686</v>
      </c>
      <c r="E133" s="233"/>
      <c r="F133" s="101" t="s">
        <v>1687</v>
      </c>
      <c r="G133" s="157"/>
      <c r="H133" s="101"/>
      <c r="I133" s="19"/>
      <c r="J133" s="10"/>
      <c r="K133" s="10" t="s">
        <v>94</v>
      </c>
      <c r="L133" s="19" t="s">
        <v>777</v>
      </c>
      <c r="M133" s="214">
        <v>1061000</v>
      </c>
      <c r="N133" s="214">
        <v>1277100</v>
      </c>
      <c r="O133" s="19"/>
      <c r="P133" s="22">
        <v>44174</v>
      </c>
      <c r="Q133" s="19"/>
      <c r="R133" s="165">
        <v>0.47</v>
      </c>
      <c r="S133" s="214">
        <f>(M133-3000*12)*0.47</f>
        <v>481750</v>
      </c>
      <c r="T133" s="26"/>
      <c r="U133" s="220">
        <f>(M133-3000*12)*0.68</f>
        <v>697000</v>
      </c>
      <c r="V133" s="220">
        <f t="shared" si="14"/>
        <v>215250</v>
      </c>
      <c r="W133" s="19" t="s">
        <v>1746</v>
      </c>
      <c r="X133" s="19" t="s">
        <v>566</v>
      </c>
    </row>
    <row r="134" spans="1:24" ht="47.25" x14ac:dyDescent="0.25">
      <c r="A134" s="19">
        <v>130</v>
      </c>
      <c r="B134" s="19" t="s">
        <v>1677</v>
      </c>
      <c r="C134" s="233" t="s">
        <v>1688</v>
      </c>
      <c r="D134" s="233" t="s">
        <v>474</v>
      </c>
      <c r="E134" s="233"/>
      <c r="F134" s="101" t="s">
        <v>1689</v>
      </c>
      <c r="G134" s="157" t="s">
        <v>1690</v>
      </c>
      <c r="H134" s="101" t="s">
        <v>338</v>
      </c>
      <c r="I134" s="381" t="s">
        <v>217</v>
      </c>
      <c r="J134" s="10" t="s">
        <v>1691</v>
      </c>
      <c r="K134" s="10" t="s">
        <v>180</v>
      </c>
      <c r="L134" s="19" t="s">
        <v>777</v>
      </c>
      <c r="M134" s="214">
        <v>1161000</v>
      </c>
      <c r="N134" s="214">
        <v>1827100</v>
      </c>
      <c r="O134" s="19"/>
      <c r="P134" s="19" t="s">
        <v>1692</v>
      </c>
      <c r="Q134" s="19"/>
      <c r="R134" s="165">
        <v>0.4</v>
      </c>
      <c r="S134" s="214">
        <f>(M134-3000*12)*0.4</f>
        <v>450000</v>
      </c>
      <c r="T134" s="26"/>
      <c r="U134" s="220">
        <f>(M134-3000*12)*0.68</f>
        <v>765000</v>
      </c>
      <c r="V134" s="220">
        <f t="shared" si="14"/>
        <v>315000</v>
      </c>
      <c r="W134" s="19" t="s">
        <v>1721</v>
      </c>
      <c r="X134" s="19" t="s">
        <v>602</v>
      </c>
    </row>
    <row r="135" spans="1:24" ht="63" x14ac:dyDescent="0.25">
      <c r="A135" s="19">
        <v>131</v>
      </c>
      <c r="B135" s="19" t="s">
        <v>1694</v>
      </c>
      <c r="C135" s="233" t="s">
        <v>1695</v>
      </c>
      <c r="D135" s="233" t="s">
        <v>473</v>
      </c>
      <c r="E135" s="233"/>
      <c r="F135" s="101" t="s">
        <v>1696</v>
      </c>
      <c r="G135" s="157" t="s">
        <v>1697</v>
      </c>
      <c r="H135" s="101" t="s">
        <v>1698</v>
      </c>
      <c r="I135" s="381" t="s">
        <v>1699</v>
      </c>
      <c r="J135" s="10" t="s">
        <v>1700</v>
      </c>
      <c r="K135" s="10" t="s">
        <v>94</v>
      </c>
      <c r="L135" s="19" t="s">
        <v>572</v>
      </c>
      <c r="M135" s="214">
        <v>2643000</v>
      </c>
      <c r="N135" s="364">
        <v>2907300</v>
      </c>
      <c r="O135" s="19"/>
      <c r="P135" s="19" t="s">
        <v>1705</v>
      </c>
      <c r="Q135" s="19"/>
      <c r="R135" s="165">
        <v>0.4</v>
      </c>
      <c r="S135" s="214">
        <f t="shared" si="18"/>
        <v>1014000</v>
      </c>
      <c r="T135" s="26" t="s">
        <v>1079</v>
      </c>
      <c r="U135" s="220">
        <f>(M135-3000*36)*0.68</f>
        <v>1723800.0000000002</v>
      </c>
      <c r="V135" s="220">
        <f t="shared" si="14"/>
        <v>709800.00000000023</v>
      </c>
      <c r="W135" s="19" t="s">
        <v>663</v>
      </c>
      <c r="X135" s="19" t="s">
        <v>933</v>
      </c>
    </row>
    <row r="136" spans="1:24" ht="63" x14ac:dyDescent="0.25">
      <c r="A136" s="19">
        <v>132</v>
      </c>
      <c r="B136" s="19" t="s">
        <v>1694</v>
      </c>
      <c r="C136" s="233" t="s">
        <v>1701</v>
      </c>
      <c r="D136" s="233" t="s">
        <v>473</v>
      </c>
      <c r="E136" s="233"/>
      <c r="F136" s="101" t="s">
        <v>1703</v>
      </c>
      <c r="G136" s="157" t="s">
        <v>1702</v>
      </c>
      <c r="H136" s="101" t="s">
        <v>1698</v>
      </c>
      <c r="I136" s="381" t="s">
        <v>1699</v>
      </c>
      <c r="J136" s="10" t="s">
        <v>1704</v>
      </c>
      <c r="K136" s="10" t="s">
        <v>94</v>
      </c>
      <c r="L136" s="19" t="s">
        <v>572</v>
      </c>
      <c r="M136" s="214">
        <v>2643000</v>
      </c>
      <c r="N136" s="364">
        <v>2907300</v>
      </c>
      <c r="O136" s="19"/>
      <c r="P136" s="19" t="s">
        <v>1705</v>
      </c>
      <c r="Q136" s="19"/>
      <c r="R136" s="165">
        <v>0.4</v>
      </c>
      <c r="S136" s="214">
        <f t="shared" si="18"/>
        <v>1014000</v>
      </c>
      <c r="T136" s="26" t="s">
        <v>1079</v>
      </c>
      <c r="U136" s="220">
        <f>(M136-3000*36)*0.68</f>
        <v>1723800.0000000002</v>
      </c>
      <c r="V136" s="220">
        <f t="shared" si="14"/>
        <v>709800.00000000023</v>
      </c>
      <c r="W136" s="19" t="s">
        <v>663</v>
      </c>
      <c r="X136" s="19" t="s">
        <v>864</v>
      </c>
    </row>
    <row r="137" spans="1:24" ht="47.25" x14ac:dyDescent="0.25">
      <c r="A137" s="19">
        <v>133</v>
      </c>
      <c r="B137" s="19" t="s">
        <v>1706</v>
      </c>
      <c r="C137" s="233" t="s">
        <v>1717</v>
      </c>
      <c r="D137" s="233" t="s">
        <v>474</v>
      </c>
      <c r="E137" s="233"/>
      <c r="F137" s="101" t="s">
        <v>1719</v>
      </c>
      <c r="G137" s="157" t="s">
        <v>1718</v>
      </c>
      <c r="H137" s="101" t="s">
        <v>338</v>
      </c>
      <c r="I137" s="381" t="s">
        <v>217</v>
      </c>
      <c r="J137" s="10" t="s">
        <v>1720</v>
      </c>
      <c r="K137" s="10" t="s">
        <v>83</v>
      </c>
      <c r="L137" s="19" t="s">
        <v>777</v>
      </c>
      <c r="M137" s="214">
        <v>1161000</v>
      </c>
      <c r="N137" s="214">
        <v>1827100</v>
      </c>
      <c r="O137" s="19"/>
      <c r="P137" s="19" t="s">
        <v>1706</v>
      </c>
      <c r="Q137" s="19"/>
      <c r="R137" s="165">
        <v>0.4</v>
      </c>
      <c r="S137" s="214">
        <f>(M137-3000*12)*0.4</f>
        <v>450000</v>
      </c>
      <c r="T137" s="26"/>
      <c r="U137" s="220">
        <f>(M137-3000*12)*0.68</f>
        <v>765000</v>
      </c>
      <c r="V137" s="220">
        <f t="shared" si="14"/>
        <v>315000</v>
      </c>
      <c r="W137" s="19" t="s">
        <v>1721</v>
      </c>
      <c r="X137" s="19" t="s">
        <v>949</v>
      </c>
    </row>
    <row r="138" spans="1:24" ht="47.25" x14ac:dyDescent="0.25">
      <c r="A138" s="19">
        <v>134</v>
      </c>
      <c r="B138" s="19" t="s">
        <v>1706</v>
      </c>
      <c r="C138" s="233" t="s">
        <v>1726</v>
      </c>
      <c r="D138" s="233"/>
      <c r="E138" s="233"/>
      <c r="F138" s="101" t="s">
        <v>1727</v>
      </c>
      <c r="G138" s="157" t="s">
        <v>1728</v>
      </c>
      <c r="H138" s="101" t="s">
        <v>1729</v>
      </c>
      <c r="I138" s="381" t="s">
        <v>1730</v>
      </c>
      <c r="J138" s="10" t="s">
        <v>1731</v>
      </c>
      <c r="K138" s="10" t="s">
        <v>180</v>
      </c>
      <c r="L138" s="19" t="s">
        <v>572</v>
      </c>
      <c r="M138" s="214">
        <v>2828000</v>
      </c>
      <c r="N138" s="214">
        <v>3110800</v>
      </c>
      <c r="O138" s="19"/>
      <c r="P138" s="19" t="s">
        <v>1732</v>
      </c>
      <c r="Q138" s="19"/>
      <c r="R138" s="165">
        <v>0.4</v>
      </c>
      <c r="S138" s="214">
        <v>610000</v>
      </c>
      <c r="T138" s="26"/>
      <c r="U138" s="220">
        <f>(M138-3000*36)*0.68</f>
        <v>1849600.0000000002</v>
      </c>
      <c r="V138" s="220">
        <f t="shared" si="14"/>
        <v>1239600.0000000002</v>
      </c>
      <c r="W138" s="19" t="s">
        <v>663</v>
      </c>
      <c r="X138" s="19" t="s">
        <v>1733</v>
      </c>
    </row>
    <row r="139" spans="1:24" ht="31.5" x14ac:dyDescent="0.25">
      <c r="A139" s="19">
        <v>135</v>
      </c>
      <c r="B139" s="19" t="s">
        <v>1706</v>
      </c>
      <c r="C139" s="233" t="s">
        <v>1734</v>
      </c>
      <c r="D139" s="233" t="s">
        <v>1686</v>
      </c>
      <c r="E139" s="233"/>
      <c r="F139" s="101" t="s">
        <v>1736</v>
      </c>
      <c r="G139" s="157" t="s">
        <v>1735</v>
      </c>
      <c r="H139" s="101"/>
      <c r="I139" s="19"/>
      <c r="J139" s="10"/>
      <c r="K139" s="10" t="s">
        <v>94</v>
      </c>
      <c r="L139" s="19" t="s">
        <v>777</v>
      </c>
      <c r="M139" s="214">
        <v>1061000</v>
      </c>
      <c r="N139" s="214">
        <v>1277100</v>
      </c>
      <c r="O139" s="19"/>
      <c r="P139" s="19" t="s">
        <v>1737</v>
      </c>
      <c r="Q139" s="19"/>
      <c r="R139" s="165">
        <v>0.47</v>
      </c>
      <c r="S139" s="214">
        <f>(M139-3000*12)*0.47</f>
        <v>481750</v>
      </c>
      <c r="T139" s="26"/>
      <c r="U139" s="220">
        <f>(M139-3000*12)*0.68</f>
        <v>697000</v>
      </c>
      <c r="V139" s="220">
        <f t="shared" si="14"/>
        <v>215250</v>
      </c>
      <c r="W139" s="19" t="s">
        <v>663</v>
      </c>
      <c r="X139" s="19" t="s">
        <v>933</v>
      </c>
    </row>
    <row r="140" spans="1:24" ht="47.25" x14ac:dyDescent="0.25">
      <c r="A140" s="19">
        <v>136</v>
      </c>
      <c r="B140" s="19" t="s">
        <v>1752</v>
      </c>
      <c r="C140" s="233" t="s">
        <v>1753</v>
      </c>
      <c r="D140" s="233" t="s">
        <v>1754</v>
      </c>
      <c r="E140" s="233"/>
      <c r="F140" s="101" t="s">
        <v>1755</v>
      </c>
      <c r="G140" s="157" t="s">
        <v>1756</v>
      </c>
      <c r="H140" s="101" t="s">
        <v>1757</v>
      </c>
      <c r="I140" s="381" t="s">
        <v>1758</v>
      </c>
      <c r="J140" s="10" t="s">
        <v>1759</v>
      </c>
      <c r="K140" s="10" t="s">
        <v>83</v>
      </c>
      <c r="L140" s="19" t="s">
        <v>572</v>
      </c>
      <c r="M140" s="214">
        <v>2828000</v>
      </c>
      <c r="N140" s="214">
        <v>3110800</v>
      </c>
      <c r="O140" s="19"/>
      <c r="P140" s="19" t="s">
        <v>1760</v>
      </c>
      <c r="Q140" s="19"/>
      <c r="R140" s="19"/>
      <c r="S140" s="214">
        <f>(N140*45%)-210000</f>
        <v>1189860</v>
      </c>
      <c r="T140" s="26"/>
      <c r="U140" s="220">
        <f t="shared" ref="U140:U150" si="19">(M140-3000*36)*0.68</f>
        <v>1849600.0000000002</v>
      </c>
      <c r="V140" s="220">
        <f t="shared" si="14"/>
        <v>659740.00000000023</v>
      </c>
      <c r="W140" s="19" t="s">
        <v>663</v>
      </c>
      <c r="X140" s="19" t="s">
        <v>949</v>
      </c>
    </row>
    <row r="141" spans="1:24" s="217" customFormat="1" ht="63" x14ac:dyDescent="0.25">
      <c r="A141" s="220">
        <v>137</v>
      </c>
      <c r="B141" s="220" t="s">
        <v>1761</v>
      </c>
      <c r="C141" s="240" t="s">
        <v>1762</v>
      </c>
      <c r="D141" s="240"/>
      <c r="E141" s="240"/>
      <c r="F141" s="244" t="s">
        <v>1763</v>
      </c>
      <c r="G141" s="242" t="s">
        <v>1764</v>
      </c>
      <c r="H141" s="244" t="s">
        <v>1765</v>
      </c>
      <c r="I141" s="254" t="s">
        <v>1766</v>
      </c>
      <c r="J141" s="220" t="s">
        <v>1767</v>
      </c>
      <c r="K141" s="274" t="s">
        <v>83</v>
      </c>
      <c r="L141" s="274" t="s">
        <v>572</v>
      </c>
      <c r="M141" s="273">
        <v>2828000</v>
      </c>
      <c r="N141" s="273">
        <v>3110800</v>
      </c>
      <c r="O141" s="220"/>
      <c r="P141" s="220" t="s">
        <v>1768</v>
      </c>
      <c r="Q141" s="220"/>
      <c r="R141" s="243">
        <v>0.4</v>
      </c>
      <c r="S141" s="214">
        <f>(M141-3000*36)*40%</f>
        <v>1088000</v>
      </c>
      <c r="T141" s="376"/>
      <c r="U141" s="274">
        <f t="shared" si="19"/>
        <v>1849600.0000000002</v>
      </c>
      <c r="V141" s="274">
        <f t="shared" si="14"/>
        <v>761600.00000000023</v>
      </c>
      <c r="W141" s="220"/>
      <c r="X141" s="220" t="s">
        <v>949</v>
      </c>
    </row>
    <row r="142" spans="1:24" ht="63" x14ac:dyDescent="0.25">
      <c r="A142" s="19">
        <v>138</v>
      </c>
      <c r="B142" s="19" t="s">
        <v>1776</v>
      </c>
      <c r="C142" s="233" t="s">
        <v>1777</v>
      </c>
      <c r="D142" s="233" t="s">
        <v>1115</v>
      </c>
      <c r="E142" s="233"/>
      <c r="F142" s="101" t="s">
        <v>1778</v>
      </c>
      <c r="G142" s="157" t="s">
        <v>1779</v>
      </c>
      <c r="H142" s="233" t="s">
        <v>1115</v>
      </c>
      <c r="I142" s="19"/>
      <c r="J142" s="10" t="s">
        <v>1780</v>
      </c>
      <c r="K142" s="10" t="s">
        <v>83</v>
      </c>
      <c r="L142" s="19" t="s">
        <v>572</v>
      </c>
      <c r="M142" s="214">
        <v>2828000</v>
      </c>
      <c r="N142" s="214">
        <v>3110800</v>
      </c>
      <c r="O142" s="19"/>
      <c r="P142" s="19" t="s">
        <v>1781</v>
      </c>
      <c r="Q142" s="19"/>
      <c r="R142" s="165">
        <v>0.4</v>
      </c>
      <c r="S142" s="214">
        <f>(M142-3000*36)*40%</f>
        <v>1088000</v>
      </c>
      <c r="T142" s="26"/>
      <c r="U142" s="220">
        <f t="shared" si="19"/>
        <v>1849600.0000000002</v>
      </c>
      <c r="V142" s="220">
        <f t="shared" si="14"/>
        <v>761600.00000000023</v>
      </c>
      <c r="W142" s="19" t="s">
        <v>1276</v>
      </c>
      <c r="X142" s="19" t="s">
        <v>864</v>
      </c>
    </row>
    <row r="143" spans="1:24" s="7" customFormat="1" ht="47.25" x14ac:dyDescent="0.25">
      <c r="A143" s="10">
        <v>139</v>
      </c>
      <c r="B143" s="10" t="s">
        <v>1776</v>
      </c>
      <c r="C143" s="234" t="s">
        <v>1782</v>
      </c>
      <c r="D143" s="234" t="s">
        <v>1835</v>
      </c>
      <c r="E143" s="234"/>
      <c r="F143" s="29" t="s">
        <v>1783</v>
      </c>
      <c r="G143" s="157" t="s">
        <v>1784</v>
      </c>
      <c r="H143" s="29" t="s">
        <v>1562</v>
      </c>
      <c r="I143" s="310" t="s">
        <v>1563</v>
      </c>
      <c r="J143" s="10" t="s">
        <v>1785</v>
      </c>
      <c r="K143" s="10" t="s">
        <v>94</v>
      </c>
      <c r="L143" s="10" t="s">
        <v>572</v>
      </c>
      <c r="M143" s="214">
        <v>2643000</v>
      </c>
      <c r="N143" s="364">
        <v>2907300</v>
      </c>
      <c r="O143" s="10"/>
      <c r="P143" s="10" t="s">
        <v>1781</v>
      </c>
      <c r="Q143" s="10"/>
      <c r="R143" s="10"/>
      <c r="S143" s="214">
        <v>500000</v>
      </c>
      <c r="T143" s="38" t="s">
        <v>1079</v>
      </c>
      <c r="U143" s="220">
        <f t="shared" si="19"/>
        <v>1723800.0000000002</v>
      </c>
      <c r="V143" s="220">
        <f t="shared" si="14"/>
        <v>1223800.0000000002</v>
      </c>
      <c r="W143" s="10" t="s">
        <v>663</v>
      </c>
      <c r="X143" s="10" t="s">
        <v>933</v>
      </c>
    </row>
    <row r="144" spans="1:24" ht="63" x14ac:dyDescent="0.25">
      <c r="A144" s="19">
        <v>140</v>
      </c>
      <c r="B144" s="19" t="s">
        <v>1776</v>
      </c>
      <c r="C144" s="233" t="s">
        <v>1812</v>
      </c>
      <c r="D144" s="233" t="s">
        <v>474</v>
      </c>
      <c r="E144" s="233"/>
      <c r="F144" s="153" t="s">
        <v>1813</v>
      </c>
      <c r="G144" s="157" t="s">
        <v>1814</v>
      </c>
      <c r="H144" s="101" t="s">
        <v>338</v>
      </c>
      <c r="I144" s="381" t="s">
        <v>217</v>
      </c>
      <c r="J144" s="10" t="s">
        <v>1815</v>
      </c>
      <c r="K144" s="10" t="s">
        <v>83</v>
      </c>
      <c r="L144" s="19" t="s">
        <v>777</v>
      </c>
      <c r="M144" s="214">
        <v>1161000</v>
      </c>
      <c r="N144" s="214">
        <v>1827100</v>
      </c>
      <c r="O144" s="19"/>
      <c r="P144" s="19" t="s">
        <v>1816</v>
      </c>
      <c r="Q144" s="19"/>
      <c r="R144" s="165">
        <v>0.4</v>
      </c>
      <c r="S144" s="214">
        <f>(M144-3000*12)*0.4</f>
        <v>450000</v>
      </c>
      <c r="T144" s="26"/>
      <c r="U144" s="220">
        <f>(M144-3000*12)*0.68</f>
        <v>765000</v>
      </c>
      <c r="V144" s="220">
        <f t="shared" ref="V144:V200" si="20">U144-S144</f>
        <v>315000</v>
      </c>
      <c r="W144" s="19" t="s">
        <v>1641</v>
      </c>
      <c r="X144" s="19" t="s">
        <v>949</v>
      </c>
    </row>
    <row r="145" spans="1:24" ht="63" x14ac:dyDescent="0.25">
      <c r="A145" s="19">
        <v>141</v>
      </c>
      <c r="B145" s="19" t="s">
        <v>1776</v>
      </c>
      <c r="C145" s="233" t="s">
        <v>1817</v>
      </c>
      <c r="D145" s="233" t="s">
        <v>474</v>
      </c>
      <c r="E145" s="233"/>
      <c r="F145" s="153" t="s">
        <v>1818</v>
      </c>
      <c r="G145" s="157" t="s">
        <v>1819</v>
      </c>
      <c r="H145" s="101" t="s">
        <v>338</v>
      </c>
      <c r="I145" s="19"/>
      <c r="J145" s="10" t="s">
        <v>1820</v>
      </c>
      <c r="K145" s="10" t="s">
        <v>83</v>
      </c>
      <c r="L145" s="19" t="s">
        <v>777</v>
      </c>
      <c r="M145" s="214">
        <v>1161000</v>
      </c>
      <c r="N145" s="214">
        <v>1827100</v>
      </c>
      <c r="O145" s="19"/>
      <c r="P145" s="19" t="s">
        <v>1816</v>
      </c>
      <c r="Q145" s="19"/>
      <c r="R145" s="165">
        <v>0.4</v>
      </c>
      <c r="S145" s="214">
        <f>(M145-3000*12)*0.4</f>
        <v>450000</v>
      </c>
      <c r="T145" s="26"/>
      <c r="U145" s="220">
        <f>(M145-3000*12)*0.68</f>
        <v>765000</v>
      </c>
      <c r="V145" s="220">
        <f t="shared" si="20"/>
        <v>315000</v>
      </c>
      <c r="W145" s="19" t="s">
        <v>1641</v>
      </c>
      <c r="X145" s="19" t="s">
        <v>949</v>
      </c>
    </row>
    <row r="146" spans="1:24" ht="63" x14ac:dyDescent="0.25">
      <c r="A146" s="19">
        <v>142</v>
      </c>
      <c r="B146" s="19" t="s">
        <v>1776</v>
      </c>
      <c r="C146" s="233" t="s">
        <v>375</v>
      </c>
      <c r="D146" s="233" t="s">
        <v>474</v>
      </c>
      <c r="E146" s="233"/>
      <c r="F146" s="101" t="s">
        <v>376</v>
      </c>
      <c r="G146" s="157" t="s">
        <v>377</v>
      </c>
      <c r="H146" s="101" t="s">
        <v>338</v>
      </c>
      <c r="I146" s="19"/>
      <c r="J146" s="10" t="s">
        <v>379</v>
      </c>
      <c r="K146" s="10" t="s">
        <v>83</v>
      </c>
      <c r="L146" s="19" t="s">
        <v>777</v>
      </c>
      <c r="M146" s="214">
        <v>1161000</v>
      </c>
      <c r="N146" s="214">
        <v>1827100</v>
      </c>
      <c r="O146" s="19"/>
      <c r="P146" s="19" t="s">
        <v>1816</v>
      </c>
      <c r="Q146" s="19"/>
      <c r="R146" s="165">
        <v>0.4</v>
      </c>
      <c r="S146" s="214">
        <f>(M146-3000*12)*0.4</f>
        <v>450000</v>
      </c>
      <c r="T146" s="26"/>
      <c r="U146" s="220">
        <f>(M146-3000*12)*0.68</f>
        <v>765000</v>
      </c>
      <c r="V146" s="220">
        <f t="shared" si="20"/>
        <v>315000</v>
      </c>
      <c r="W146" s="19" t="s">
        <v>1641</v>
      </c>
      <c r="X146" s="19" t="s">
        <v>949</v>
      </c>
    </row>
    <row r="147" spans="1:24" ht="47.25" x14ac:dyDescent="0.25">
      <c r="A147" s="19">
        <v>143</v>
      </c>
      <c r="B147" s="19" t="s">
        <v>1776</v>
      </c>
      <c r="C147" s="233" t="s">
        <v>1821</v>
      </c>
      <c r="D147" s="233" t="s">
        <v>562</v>
      </c>
      <c r="E147" s="233"/>
      <c r="F147" s="101" t="s">
        <v>1822</v>
      </c>
      <c r="G147" s="157" t="s">
        <v>1823</v>
      </c>
      <c r="H147" s="101" t="s">
        <v>1824</v>
      </c>
      <c r="I147" s="19"/>
      <c r="J147" s="10" t="s">
        <v>1825</v>
      </c>
      <c r="K147" s="10" t="s">
        <v>94</v>
      </c>
      <c r="L147" s="19" t="s">
        <v>572</v>
      </c>
      <c r="M147" s="214">
        <v>2643000</v>
      </c>
      <c r="N147" s="364">
        <v>2907300</v>
      </c>
      <c r="O147" s="19"/>
      <c r="P147" s="19" t="s">
        <v>1781</v>
      </c>
      <c r="Q147" s="19"/>
      <c r="R147" s="165">
        <v>0.4</v>
      </c>
      <c r="S147" s="214">
        <f>(M147-3000*36)*0.4</f>
        <v>1014000</v>
      </c>
      <c r="T147" s="26" t="s">
        <v>1079</v>
      </c>
      <c r="U147" s="220">
        <f t="shared" si="19"/>
        <v>1723800.0000000002</v>
      </c>
      <c r="V147" s="220">
        <f t="shared" si="20"/>
        <v>709800.00000000023</v>
      </c>
      <c r="W147" s="19" t="s">
        <v>663</v>
      </c>
      <c r="X147" s="19" t="s">
        <v>864</v>
      </c>
    </row>
    <row r="148" spans="1:24" ht="47.25" x14ac:dyDescent="0.25">
      <c r="A148" s="19">
        <v>144</v>
      </c>
      <c r="B148" s="19" t="s">
        <v>1829</v>
      </c>
      <c r="C148" s="233" t="s">
        <v>1830</v>
      </c>
      <c r="D148" s="233" t="s">
        <v>1115</v>
      </c>
      <c r="E148" s="233"/>
      <c r="F148" s="101" t="s">
        <v>1831</v>
      </c>
      <c r="G148" s="157" t="s">
        <v>1832</v>
      </c>
      <c r="H148" s="101" t="s">
        <v>1115</v>
      </c>
      <c r="I148" s="19"/>
      <c r="J148" s="10" t="s">
        <v>1833</v>
      </c>
      <c r="K148" s="10" t="s">
        <v>94</v>
      </c>
      <c r="L148" s="19" t="s">
        <v>572</v>
      </c>
      <c r="M148" s="214">
        <v>2643000</v>
      </c>
      <c r="N148" s="364">
        <v>2907300</v>
      </c>
      <c r="O148" s="19"/>
      <c r="P148" s="19" t="s">
        <v>1834</v>
      </c>
      <c r="Q148" s="19"/>
      <c r="R148" s="19"/>
      <c r="S148" s="214">
        <v>907300</v>
      </c>
      <c r="T148" s="26"/>
      <c r="U148" s="220">
        <f t="shared" si="19"/>
        <v>1723800.0000000002</v>
      </c>
      <c r="V148" s="220">
        <f t="shared" si="20"/>
        <v>816500.00000000023</v>
      </c>
      <c r="W148" s="19" t="s">
        <v>1276</v>
      </c>
      <c r="X148" s="19" t="s">
        <v>864</v>
      </c>
    </row>
    <row r="149" spans="1:24" ht="47.25" x14ac:dyDescent="0.25">
      <c r="A149" s="19">
        <v>145</v>
      </c>
      <c r="B149" s="19" t="s">
        <v>1836</v>
      </c>
      <c r="C149" s="233" t="s">
        <v>1837</v>
      </c>
      <c r="D149" s="233" t="s">
        <v>1686</v>
      </c>
      <c r="E149" s="233"/>
      <c r="F149" s="101" t="s">
        <v>1839</v>
      </c>
      <c r="G149" s="157" t="s">
        <v>1838</v>
      </c>
      <c r="H149" s="101"/>
      <c r="I149" s="19"/>
      <c r="J149" s="10" t="s">
        <v>1840</v>
      </c>
      <c r="K149" s="10" t="s">
        <v>94</v>
      </c>
      <c r="L149" s="19" t="s">
        <v>572</v>
      </c>
      <c r="M149" s="214">
        <v>2643000</v>
      </c>
      <c r="N149" s="364">
        <v>2907300</v>
      </c>
      <c r="O149" s="19"/>
      <c r="P149" s="19" t="s">
        <v>1836</v>
      </c>
      <c r="Q149" s="19"/>
      <c r="R149" s="165">
        <v>0.47</v>
      </c>
      <c r="S149" s="214">
        <f>(M149-3000*36)*0.47</f>
        <v>1191450</v>
      </c>
      <c r="T149" s="26"/>
      <c r="U149" s="220">
        <f t="shared" si="19"/>
        <v>1723800.0000000002</v>
      </c>
      <c r="V149" s="220">
        <f t="shared" si="20"/>
        <v>532350.00000000023</v>
      </c>
      <c r="W149" s="19" t="s">
        <v>663</v>
      </c>
      <c r="X149" s="19" t="s">
        <v>864</v>
      </c>
    </row>
    <row r="150" spans="1:24" ht="63" x14ac:dyDescent="0.25">
      <c r="A150" s="19">
        <v>146</v>
      </c>
      <c r="B150" s="19" t="s">
        <v>1836</v>
      </c>
      <c r="C150" s="233" t="s">
        <v>1841</v>
      </c>
      <c r="D150" s="233" t="s">
        <v>1279</v>
      </c>
      <c r="E150" s="233"/>
      <c r="F150" s="101" t="s">
        <v>1842</v>
      </c>
      <c r="G150" s="157" t="s">
        <v>1843</v>
      </c>
      <c r="H150" s="101" t="s">
        <v>1844</v>
      </c>
      <c r="I150" s="19"/>
      <c r="J150" s="310" t="s">
        <v>1845</v>
      </c>
      <c r="K150" s="10" t="s">
        <v>94</v>
      </c>
      <c r="L150" s="19" t="s">
        <v>572</v>
      </c>
      <c r="M150" s="214">
        <v>2643000</v>
      </c>
      <c r="N150" s="364">
        <v>2907300</v>
      </c>
      <c r="O150" s="19"/>
      <c r="P150" s="19" t="s">
        <v>1836</v>
      </c>
      <c r="Q150" s="19"/>
      <c r="R150" s="165">
        <v>0.45</v>
      </c>
      <c r="S150" s="214">
        <f>(M150-3000*36)*0.45</f>
        <v>1140750</v>
      </c>
      <c r="T150" s="26"/>
      <c r="U150" s="220">
        <f t="shared" si="19"/>
        <v>1723800.0000000002</v>
      </c>
      <c r="V150" s="220">
        <f t="shared" si="20"/>
        <v>583050.00000000023</v>
      </c>
      <c r="W150" s="19" t="s">
        <v>1244</v>
      </c>
      <c r="X150" s="19" t="s">
        <v>864</v>
      </c>
    </row>
    <row r="151" spans="1:24" s="217" customFormat="1" ht="63" x14ac:dyDescent="0.25">
      <c r="A151" s="220">
        <v>142</v>
      </c>
      <c r="B151" s="239">
        <v>43475</v>
      </c>
      <c r="C151" s="240" t="s">
        <v>375</v>
      </c>
      <c r="D151" s="240" t="s">
        <v>474</v>
      </c>
      <c r="E151" s="240"/>
      <c r="F151" s="241" t="s">
        <v>376</v>
      </c>
      <c r="G151" s="242" t="s">
        <v>377</v>
      </c>
      <c r="H151" s="244" t="s">
        <v>338</v>
      </c>
      <c r="I151" s="220"/>
      <c r="J151" s="220" t="s">
        <v>379</v>
      </c>
      <c r="K151" s="220" t="s">
        <v>83</v>
      </c>
      <c r="L151" s="220" t="s">
        <v>777</v>
      </c>
      <c r="M151" s="214">
        <v>1161000</v>
      </c>
      <c r="N151" s="214">
        <v>1827100</v>
      </c>
      <c r="O151" s="220"/>
      <c r="P151" s="239">
        <v>43475</v>
      </c>
      <c r="Q151" s="220"/>
      <c r="R151" s="243">
        <v>0.4</v>
      </c>
      <c r="S151" s="214">
        <f>(M151-3000*12)*0.4</f>
        <v>450000</v>
      </c>
      <c r="T151" s="376"/>
      <c r="U151" s="220">
        <f>(M151-3000*12)*0.68</f>
        <v>765000</v>
      </c>
      <c r="V151" s="220">
        <f t="shared" si="20"/>
        <v>315000</v>
      </c>
      <c r="W151" s="220" t="s">
        <v>1923</v>
      </c>
      <c r="X151" s="220" t="s">
        <v>73</v>
      </c>
    </row>
    <row r="152" spans="1:24" ht="31.5" x14ac:dyDescent="0.25">
      <c r="A152" s="19">
        <v>143</v>
      </c>
      <c r="B152" s="22">
        <v>43506</v>
      </c>
      <c r="C152" s="233" t="s">
        <v>1858</v>
      </c>
      <c r="D152" s="233" t="s">
        <v>473</v>
      </c>
      <c r="E152" s="233"/>
      <c r="F152" s="101" t="s">
        <v>1859</v>
      </c>
      <c r="G152" s="157" t="s">
        <v>1860</v>
      </c>
      <c r="H152" s="101"/>
      <c r="I152" s="19"/>
      <c r="J152" s="10" t="s">
        <v>1861</v>
      </c>
      <c r="K152" s="10" t="s">
        <v>94</v>
      </c>
      <c r="L152" s="19" t="s">
        <v>756</v>
      </c>
      <c r="M152" s="214">
        <v>1992000</v>
      </c>
      <c r="N152" s="214">
        <v>2191200</v>
      </c>
      <c r="O152" s="19"/>
      <c r="P152" s="22">
        <v>44237</v>
      </c>
      <c r="Q152" s="19"/>
      <c r="R152" s="165">
        <v>0.4</v>
      </c>
      <c r="S152" s="214">
        <f>(M152-3000*24)*0.4</f>
        <v>768000</v>
      </c>
      <c r="T152" s="26"/>
      <c r="U152" s="220">
        <f>(M152-3000*24)*0.68</f>
        <v>1305600</v>
      </c>
      <c r="V152" s="220">
        <f t="shared" si="20"/>
        <v>537600</v>
      </c>
      <c r="W152" s="19" t="s">
        <v>663</v>
      </c>
      <c r="X152" s="441" t="s">
        <v>864</v>
      </c>
    </row>
    <row r="153" spans="1:24" ht="31.5" x14ac:dyDescent="0.25">
      <c r="A153" s="19">
        <v>144</v>
      </c>
      <c r="B153" s="22">
        <v>43506</v>
      </c>
      <c r="C153" s="233" t="s">
        <v>1862</v>
      </c>
      <c r="D153" s="233" t="s">
        <v>473</v>
      </c>
      <c r="E153" s="233"/>
      <c r="F153" s="101" t="s">
        <v>1863</v>
      </c>
      <c r="G153" s="157" t="s">
        <v>1864</v>
      </c>
      <c r="H153" s="101"/>
      <c r="I153" s="19"/>
      <c r="J153" s="10" t="s">
        <v>1865</v>
      </c>
      <c r="K153" s="10" t="s">
        <v>94</v>
      </c>
      <c r="L153" s="19" t="s">
        <v>756</v>
      </c>
      <c r="M153" s="214">
        <v>1992000</v>
      </c>
      <c r="N153" s="214">
        <v>2191200</v>
      </c>
      <c r="O153" s="19"/>
      <c r="P153" s="22">
        <v>44237</v>
      </c>
      <c r="Q153" s="19"/>
      <c r="R153" s="165">
        <v>0.4</v>
      </c>
      <c r="S153" s="214">
        <f>(M153-3000*24)*0.4</f>
        <v>768000</v>
      </c>
      <c r="T153" s="26"/>
      <c r="U153" s="220">
        <f>(M153-3000*24)*0.68</f>
        <v>1305600</v>
      </c>
      <c r="V153" s="220">
        <f t="shared" si="20"/>
        <v>537600</v>
      </c>
      <c r="W153" s="19" t="s">
        <v>663</v>
      </c>
      <c r="X153" s="23" t="s">
        <v>864</v>
      </c>
    </row>
    <row r="154" spans="1:24" ht="47.25" x14ac:dyDescent="0.25">
      <c r="A154" s="19">
        <v>145</v>
      </c>
      <c r="B154" s="22">
        <v>43506</v>
      </c>
      <c r="C154" s="233" t="s">
        <v>1866</v>
      </c>
      <c r="D154" s="233" t="s">
        <v>1279</v>
      </c>
      <c r="E154" s="233"/>
      <c r="F154" s="101" t="s">
        <v>1867</v>
      </c>
      <c r="G154" s="157" t="s">
        <v>1868</v>
      </c>
      <c r="H154" s="101" t="s">
        <v>1890</v>
      </c>
      <c r="I154" s="381" t="s">
        <v>1869</v>
      </c>
      <c r="J154" s="10" t="s">
        <v>1870</v>
      </c>
      <c r="K154" s="10" t="s">
        <v>83</v>
      </c>
      <c r="L154" s="19" t="s">
        <v>777</v>
      </c>
      <c r="M154" s="214">
        <v>1161000</v>
      </c>
      <c r="N154" s="214">
        <v>1827100</v>
      </c>
      <c r="O154" s="19"/>
      <c r="P154" s="22">
        <v>43871</v>
      </c>
      <c r="Q154" s="19"/>
      <c r="R154" s="165">
        <v>0.45</v>
      </c>
      <c r="S154" s="214">
        <f>(M154-3000*12)*0.45</f>
        <v>506250</v>
      </c>
      <c r="T154" s="26"/>
      <c r="U154" s="220">
        <f>(M154-3000*12)*0.68</f>
        <v>765000</v>
      </c>
      <c r="V154" s="220">
        <f t="shared" si="20"/>
        <v>258750</v>
      </c>
      <c r="W154" s="19" t="s">
        <v>663</v>
      </c>
      <c r="X154" s="23" t="s">
        <v>949</v>
      </c>
    </row>
    <row r="155" spans="1:24" ht="47.25" x14ac:dyDescent="0.25">
      <c r="A155" s="19">
        <v>146</v>
      </c>
      <c r="B155" s="22">
        <v>43565</v>
      </c>
      <c r="C155" s="233" t="s">
        <v>1882</v>
      </c>
      <c r="D155" s="233" t="s">
        <v>473</v>
      </c>
      <c r="E155" s="233"/>
      <c r="F155" s="101" t="s">
        <v>1884</v>
      </c>
      <c r="G155" s="157" t="s">
        <v>1883</v>
      </c>
      <c r="H155" s="101"/>
      <c r="I155" s="19"/>
      <c r="J155" s="10" t="s">
        <v>1885</v>
      </c>
      <c r="K155" s="10" t="s">
        <v>94</v>
      </c>
      <c r="L155" s="19" t="s">
        <v>572</v>
      </c>
      <c r="M155" s="214">
        <v>2643000</v>
      </c>
      <c r="N155" s="364">
        <v>2907300</v>
      </c>
      <c r="O155" s="19"/>
      <c r="P155" s="22">
        <v>44661</v>
      </c>
      <c r="Q155" s="19"/>
      <c r="R155" s="165">
        <v>0.4</v>
      </c>
      <c r="S155" s="214">
        <f>(M155-3000*36)*0.4</f>
        <v>1014000</v>
      </c>
      <c r="T155" s="26"/>
      <c r="U155" s="220">
        <f>(M155-3000*36)*0.68</f>
        <v>1723800.0000000002</v>
      </c>
      <c r="V155" s="220">
        <f t="shared" si="20"/>
        <v>709800.00000000023</v>
      </c>
      <c r="W155" s="19" t="s">
        <v>663</v>
      </c>
      <c r="X155" s="23" t="s">
        <v>864</v>
      </c>
    </row>
    <row r="156" spans="1:24" ht="63" x14ac:dyDescent="0.25">
      <c r="A156" s="19">
        <v>147</v>
      </c>
      <c r="B156" s="22">
        <v>43565</v>
      </c>
      <c r="C156" s="233" t="s">
        <v>1886</v>
      </c>
      <c r="D156" s="233" t="s">
        <v>1686</v>
      </c>
      <c r="E156" s="233"/>
      <c r="F156" s="101" t="s">
        <v>1887</v>
      </c>
      <c r="G156" s="157" t="s">
        <v>1888</v>
      </c>
      <c r="H156" s="101"/>
      <c r="I156" s="19"/>
      <c r="J156" s="10" t="s">
        <v>1889</v>
      </c>
      <c r="K156" s="10" t="s">
        <v>94</v>
      </c>
      <c r="L156" s="19" t="s">
        <v>756</v>
      </c>
      <c r="M156" s="214">
        <v>1992000</v>
      </c>
      <c r="N156" s="214">
        <v>2191200</v>
      </c>
      <c r="O156" s="19"/>
      <c r="P156" s="22">
        <v>44296</v>
      </c>
      <c r="Q156" s="19"/>
      <c r="R156" s="165">
        <v>0.47</v>
      </c>
      <c r="S156" s="214">
        <f>(M156-3000*24)*0.4</f>
        <v>768000</v>
      </c>
      <c r="T156" s="26"/>
      <c r="U156" s="220">
        <f>(M156-3000*24)*0.68</f>
        <v>1305600</v>
      </c>
      <c r="V156" s="220">
        <f t="shared" si="20"/>
        <v>537600</v>
      </c>
      <c r="W156" s="19" t="s">
        <v>663</v>
      </c>
      <c r="X156" s="23" t="s">
        <v>864</v>
      </c>
    </row>
    <row r="157" spans="1:24" s="272" customFormat="1" ht="63" x14ac:dyDescent="0.25">
      <c r="A157" s="266">
        <v>148</v>
      </c>
      <c r="B157" s="373">
        <v>43656</v>
      </c>
      <c r="C157" s="334" t="s">
        <v>1891</v>
      </c>
      <c r="D157" s="334" t="s">
        <v>1233</v>
      </c>
      <c r="E157" s="334"/>
      <c r="F157" s="335" t="s">
        <v>1892</v>
      </c>
      <c r="G157" s="268" t="s">
        <v>1893</v>
      </c>
      <c r="H157" s="335"/>
      <c r="I157" s="266"/>
      <c r="J157" s="269"/>
      <c r="K157" s="269" t="s">
        <v>94</v>
      </c>
      <c r="L157" s="266" t="s">
        <v>777</v>
      </c>
      <c r="M157" s="273">
        <v>1061000</v>
      </c>
      <c r="N157" s="273">
        <v>1277100</v>
      </c>
      <c r="O157" s="266"/>
      <c r="P157" s="373">
        <v>44752</v>
      </c>
      <c r="Q157" s="266"/>
      <c r="R157" s="271">
        <v>0.4</v>
      </c>
      <c r="S157" s="273">
        <f>(M157-3000*24)*0.4</f>
        <v>395600</v>
      </c>
      <c r="T157" s="589"/>
      <c r="U157" s="274">
        <f t="shared" ref="U157:U166" si="21">(M157-3000*36)*0.68</f>
        <v>648040</v>
      </c>
      <c r="V157" s="274">
        <f t="shared" si="20"/>
        <v>252440</v>
      </c>
      <c r="W157" s="266"/>
      <c r="X157" s="272" t="s">
        <v>864</v>
      </c>
    </row>
    <row r="158" spans="1:24" ht="63" x14ac:dyDescent="0.25">
      <c r="A158" s="19">
        <v>149</v>
      </c>
      <c r="B158" s="22">
        <v>43656</v>
      </c>
      <c r="C158" s="233" t="s">
        <v>1894</v>
      </c>
      <c r="D158" s="233" t="s">
        <v>1895</v>
      </c>
      <c r="E158" s="233"/>
      <c r="F158" s="101" t="s">
        <v>1896</v>
      </c>
      <c r="G158" s="157" t="s">
        <v>1897</v>
      </c>
      <c r="H158" s="101" t="s">
        <v>1626</v>
      </c>
      <c r="I158" s="381" t="s">
        <v>1898</v>
      </c>
      <c r="J158" s="10" t="s">
        <v>1899</v>
      </c>
      <c r="K158" s="10" t="s">
        <v>83</v>
      </c>
      <c r="L158" s="19" t="s">
        <v>572</v>
      </c>
      <c r="M158" s="214">
        <v>2828000</v>
      </c>
      <c r="N158" s="214">
        <v>3110800</v>
      </c>
      <c r="O158" s="19"/>
      <c r="P158" s="22">
        <v>44752</v>
      </c>
      <c r="Q158" s="19"/>
      <c r="R158" s="19"/>
      <c r="S158" s="214">
        <v>710800</v>
      </c>
      <c r="T158" s="26"/>
      <c r="U158" s="220">
        <f t="shared" si="21"/>
        <v>1849600.0000000002</v>
      </c>
      <c r="V158" s="220">
        <f t="shared" si="20"/>
        <v>1138800.0000000002</v>
      </c>
      <c r="W158" s="19" t="s">
        <v>663</v>
      </c>
      <c r="X158" s="23" t="s">
        <v>1856</v>
      </c>
    </row>
    <row r="159" spans="1:24" ht="63" x14ac:dyDescent="0.25">
      <c r="A159" s="19">
        <v>150</v>
      </c>
      <c r="B159" s="22">
        <v>43687</v>
      </c>
      <c r="C159" s="233" t="s">
        <v>1900</v>
      </c>
      <c r="D159" s="233" t="s">
        <v>1279</v>
      </c>
      <c r="E159" s="233"/>
      <c r="F159" s="101" t="s">
        <v>1901</v>
      </c>
      <c r="G159" s="157" t="s">
        <v>1902</v>
      </c>
      <c r="H159" s="101" t="s">
        <v>1903</v>
      </c>
      <c r="I159" s="19" t="s">
        <v>1904</v>
      </c>
      <c r="J159" s="10" t="s">
        <v>1905</v>
      </c>
      <c r="K159" s="10" t="s">
        <v>94</v>
      </c>
      <c r="L159" s="19" t="s">
        <v>572</v>
      </c>
      <c r="M159" s="214">
        <v>2643000</v>
      </c>
      <c r="N159" s="364">
        <v>2907300</v>
      </c>
      <c r="O159" s="19"/>
      <c r="P159" s="22">
        <v>43687</v>
      </c>
      <c r="Q159" s="19"/>
      <c r="R159" s="19"/>
      <c r="S159" s="214">
        <f>(M159-3000*36)*0.45</f>
        <v>1140750</v>
      </c>
      <c r="T159" s="26" t="s">
        <v>1079</v>
      </c>
      <c r="U159" s="220">
        <f t="shared" si="21"/>
        <v>1723800.0000000002</v>
      </c>
      <c r="V159" s="220">
        <f t="shared" si="20"/>
        <v>583050.00000000023</v>
      </c>
      <c r="W159" s="19" t="s">
        <v>663</v>
      </c>
      <c r="X159" s="23" t="s">
        <v>933</v>
      </c>
    </row>
    <row r="160" spans="1:24" ht="63" x14ac:dyDescent="0.25">
      <c r="A160" s="19">
        <v>151</v>
      </c>
      <c r="B160" s="22">
        <v>43718</v>
      </c>
      <c r="C160" s="233" t="s">
        <v>1906</v>
      </c>
      <c r="D160" s="233" t="s">
        <v>1907</v>
      </c>
      <c r="E160" s="233"/>
      <c r="F160" s="101" t="s">
        <v>1908</v>
      </c>
      <c r="G160" s="157" t="s">
        <v>1909</v>
      </c>
      <c r="H160" s="101" t="s">
        <v>407</v>
      </c>
      <c r="I160" s="19" t="s">
        <v>1910</v>
      </c>
      <c r="J160" s="10" t="s">
        <v>1296</v>
      </c>
      <c r="K160" s="10" t="s">
        <v>83</v>
      </c>
      <c r="L160" s="19" t="s">
        <v>572</v>
      </c>
      <c r="M160" s="214">
        <v>2828000</v>
      </c>
      <c r="N160" s="214">
        <v>3110800</v>
      </c>
      <c r="O160" s="19"/>
      <c r="P160" s="22">
        <v>44814</v>
      </c>
      <c r="Q160" s="19"/>
      <c r="R160" s="19"/>
      <c r="S160" s="214">
        <f>(M160-3000*36)*0.4</f>
        <v>1088000</v>
      </c>
      <c r="T160" s="26"/>
      <c r="U160" s="220">
        <f t="shared" si="21"/>
        <v>1849600.0000000002</v>
      </c>
      <c r="V160" s="220">
        <f t="shared" si="20"/>
        <v>761600.00000000023</v>
      </c>
      <c r="W160" s="19" t="s">
        <v>663</v>
      </c>
      <c r="X160" s="23" t="s">
        <v>1911</v>
      </c>
    </row>
    <row r="161" spans="1:24" ht="63" x14ac:dyDescent="0.25">
      <c r="A161" s="19">
        <v>152</v>
      </c>
      <c r="B161" s="22">
        <v>43718</v>
      </c>
      <c r="C161" s="233" t="s">
        <v>1915</v>
      </c>
      <c r="D161" s="233" t="s">
        <v>1916</v>
      </c>
      <c r="E161" s="233"/>
      <c r="F161" s="101" t="s">
        <v>1917</v>
      </c>
      <c r="G161" s="157" t="s">
        <v>1918</v>
      </c>
      <c r="H161" s="233" t="s">
        <v>1916</v>
      </c>
      <c r="I161" s="19"/>
      <c r="J161" s="10" t="s">
        <v>1919</v>
      </c>
      <c r="K161" s="10" t="s">
        <v>83</v>
      </c>
      <c r="L161" s="19" t="s">
        <v>572</v>
      </c>
      <c r="M161" s="214">
        <v>2828000</v>
      </c>
      <c r="N161" s="214">
        <v>3110800</v>
      </c>
      <c r="O161" s="19"/>
      <c r="P161" s="22">
        <v>43718</v>
      </c>
      <c r="Q161" s="19"/>
      <c r="R161" s="19"/>
      <c r="S161" s="214">
        <v>610800</v>
      </c>
      <c r="T161" s="26"/>
      <c r="U161" s="220">
        <f t="shared" si="21"/>
        <v>1849600.0000000002</v>
      </c>
      <c r="V161" s="220">
        <f t="shared" si="20"/>
        <v>1238800.0000000002</v>
      </c>
      <c r="W161" s="19" t="s">
        <v>663</v>
      </c>
      <c r="X161" s="23" t="s">
        <v>1931</v>
      </c>
    </row>
    <row r="162" spans="1:24" s="272" customFormat="1" ht="47.25" x14ac:dyDescent="0.25">
      <c r="A162" s="266">
        <v>153</v>
      </c>
      <c r="B162" s="373">
        <v>43779</v>
      </c>
      <c r="C162" s="334" t="s">
        <v>1929</v>
      </c>
      <c r="D162" s="334" t="s">
        <v>479</v>
      </c>
      <c r="E162" s="334"/>
      <c r="F162" s="335" t="s">
        <v>1930</v>
      </c>
      <c r="G162" s="268" t="s">
        <v>598</v>
      </c>
      <c r="H162" s="334" t="s">
        <v>461</v>
      </c>
      <c r="I162" s="266"/>
      <c r="J162" s="269"/>
      <c r="K162" s="269" t="str">
        <f>K161</f>
        <v>cấp mới</v>
      </c>
      <c r="L162" s="266" t="str">
        <f>L161</f>
        <v>3 năm</v>
      </c>
      <c r="M162" s="273">
        <f>M161</f>
        <v>2828000</v>
      </c>
      <c r="N162" s="273">
        <f>N161</f>
        <v>3110800</v>
      </c>
      <c r="O162" s="266"/>
      <c r="P162" s="373">
        <v>43779</v>
      </c>
      <c r="Q162" s="266"/>
      <c r="R162" s="266"/>
      <c r="S162" s="273">
        <f>(M162-3000*36)*0.4</f>
        <v>1088000</v>
      </c>
      <c r="T162" s="589"/>
      <c r="U162" s="274">
        <f t="shared" si="21"/>
        <v>1849600.0000000002</v>
      </c>
      <c r="V162" s="274">
        <f t="shared" si="20"/>
        <v>761600.00000000023</v>
      </c>
      <c r="W162" s="266"/>
      <c r="X162" s="272" t="s">
        <v>1920</v>
      </c>
    </row>
    <row r="163" spans="1:24" ht="47.25" x14ac:dyDescent="0.25">
      <c r="A163" s="19">
        <v>154</v>
      </c>
      <c r="B163" s="22" t="s">
        <v>1936</v>
      </c>
      <c r="C163" s="233" t="s">
        <v>1937</v>
      </c>
      <c r="D163" s="233" t="s">
        <v>562</v>
      </c>
      <c r="E163" s="233"/>
      <c r="F163" s="101" t="s">
        <v>1939</v>
      </c>
      <c r="G163" s="157" t="s">
        <v>1938</v>
      </c>
      <c r="H163" s="233" t="s">
        <v>1940</v>
      </c>
      <c r="I163" s="381" t="s">
        <v>2108</v>
      </c>
      <c r="J163" s="10" t="s">
        <v>1941</v>
      </c>
      <c r="K163" s="10" t="s">
        <v>94</v>
      </c>
      <c r="L163" s="19" t="s">
        <v>572</v>
      </c>
      <c r="M163" s="214">
        <v>2643000</v>
      </c>
      <c r="N163" s="364">
        <v>2907300</v>
      </c>
      <c r="O163" s="19"/>
      <c r="P163" s="22" t="s">
        <v>1936</v>
      </c>
      <c r="Q163" s="19"/>
      <c r="R163" s="19"/>
      <c r="S163" s="214">
        <f>(M163-3000*36)*0.4</f>
        <v>1014000</v>
      </c>
      <c r="T163" s="26" t="s">
        <v>1079</v>
      </c>
      <c r="U163" s="220">
        <f t="shared" si="21"/>
        <v>1723800.0000000002</v>
      </c>
      <c r="V163" s="220">
        <f t="shared" si="20"/>
        <v>709800.00000000023</v>
      </c>
      <c r="W163" s="19"/>
    </row>
    <row r="164" spans="1:24" ht="47.25" x14ac:dyDescent="0.25">
      <c r="A164" s="19">
        <v>156</v>
      </c>
      <c r="B164" s="22" t="s">
        <v>1945</v>
      </c>
      <c r="C164" s="233" t="s">
        <v>1947</v>
      </c>
      <c r="D164" s="233" t="s">
        <v>562</v>
      </c>
      <c r="E164" s="233"/>
      <c r="F164" s="101" t="s">
        <v>1948</v>
      </c>
      <c r="G164" s="157" t="s">
        <v>1949</v>
      </c>
      <c r="H164" s="233" t="s">
        <v>1950</v>
      </c>
      <c r="I164" s="381" t="s">
        <v>1951</v>
      </c>
      <c r="J164" s="10"/>
      <c r="K164" s="10" t="str">
        <f>K163</f>
        <v>Gia hạn</v>
      </c>
      <c r="L164" s="19" t="str">
        <f>L163</f>
        <v>3 năm</v>
      </c>
      <c r="M164" s="273">
        <v>2643000</v>
      </c>
      <c r="N164" s="415">
        <v>2907300</v>
      </c>
      <c r="O164" s="19"/>
      <c r="P164" s="22" t="s">
        <v>1946</v>
      </c>
      <c r="Q164" s="19"/>
      <c r="R164" s="165">
        <v>0.4</v>
      </c>
      <c r="S164" s="214">
        <f>(M164-3000*36)*0.4</f>
        <v>1014000</v>
      </c>
      <c r="T164" s="26" t="s">
        <v>1079</v>
      </c>
      <c r="U164" s="220">
        <f t="shared" si="21"/>
        <v>1723800.0000000002</v>
      </c>
      <c r="V164" s="220">
        <f t="shared" si="20"/>
        <v>709800.00000000023</v>
      </c>
      <c r="W164" s="19" t="s">
        <v>663</v>
      </c>
      <c r="X164" s="23" t="s">
        <v>1546</v>
      </c>
    </row>
    <row r="165" spans="1:24" ht="47.25" x14ac:dyDescent="0.25">
      <c r="A165" s="19">
        <v>157</v>
      </c>
      <c r="B165" s="22" t="s">
        <v>1945</v>
      </c>
      <c r="C165" s="233" t="s">
        <v>1952</v>
      </c>
      <c r="D165" s="233" t="s">
        <v>562</v>
      </c>
      <c r="E165" s="233"/>
      <c r="F165" s="101" t="s">
        <v>1953</v>
      </c>
      <c r="G165" s="157" t="s">
        <v>1954</v>
      </c>
      <c r="H165" s="233" t="s">
        <v>1955</v>
      </c>
      <c r="I165" s="381" t="s">
        <v>1956</v>
      </c>
      <c r="J165" s="10"/>
      <c r="K165" s="10" t="str">
        <f>K164</f>
        <v>Gia hạn</v>
      </c>
      <c r="L165" s="19" t="str">
        <f>L164</f>
        <v>3 năm</v>
      </c>
      <c r="M165" s="273">
        <v>2643000</v>
      </c>
      <c r="N165" s="415">
        <v>2907300</v>
      </c>
      <c r="O165" s="19"/>
      <c r="P165" s="22" t="s">
        <v>1946</v>
      </c>
      <c r="Q165" s="19"/>
      <c r="R165" s="165">
        <v>0.4</v>
      </c>
      <c r="S165" s="214">
        <f>(M165-3000*36)*0.4</f>
        <v>1014000</v>
      </c>
      <c r="T165" s="26" t="s">
        <v>1629</v>
      </c>
      <c r="U165" s="220">
        <f t="shared" si="21"/>
        <v>1723800.0000000002</v>
      </c>
      <c r="V165" s="220">
        <f t="shared" si="20"/>
        <v>709800.00000000023</v>
      </c>
      <c r="W165" s="19" t="s">
        <v>1984</v>
      </c>
    </row>
    <row r="166" spans="1:24" ht="63" x14ac:dyDescent="0.25">
      <c r="A166" s="19">
        <v>158</v>
      </c>
      <c r="B166" s="22" t="s">
        <v>1967</v>
      </c>
      <c r="C166" s="233" t="s">
        <v>1968</v>
      </c>
      <c r="D166" s="233" t="s">
        <v>562</v>
      </c>
      <c r="E166" s="233"/>
      <c r="F166" s="101" t="s">
        <v>1969</v>
      </c>
      <c r="G166" s="157" t="s">
        <v>1970</v>
      </c>
      <c r="H166" s="233" t="s">
        <v>1971</v>
      </c>
      <c r="I166" s="19"/>
      <c r="J166" s="10" t="s">
        <v>1972</v>
      </c>
      <c r="K166" s="10" t="s">
        <v>94</v>
      </c>
      <c r="L166" s="19" t="str">
        <f>L165</f>
        <v>3 năm</v>
      </c>
      <c r="M166" s="273">
        <v>2643000</v>
      </c>
      <c r="N166" s="415">
        <v>2907300</v>
      </c>
      <c r="O166" s="19"/>
      <c r="P166" s="22" t="s">
        <v>1973</v>
      </c>
      <c r="Q166" s="19"/>
      <c r="R166" s="165">
        <v>0.4</v>
      </c>
      <c r="S166" s="214">
        <f>(M166-3000*36)*0.4</f>
        <v>1014000</v>
      </c>
      <c r="T166" s="26" t="s">
        <v>1079</v>
      </c>
      <c r="U166" s="220">
        <f t="shared" si="21"/>
        <v>1723800.0000000002</v>
      </c>
      <c r="V166" s="220">
        <f t="shared" si="20"/>
        <v>709800.00000000023</v>
      </c>
      <c r="W166" s="19" t="s">
        <v>1983</v>
      </c>
    </row>
    <row r="167" spans="1:24" ht="63" x14ac:dyDescent="0.25">
      <c r="A167" s="19">
        <v>159</v>
      </c>
      <c r="B167" s="22" t="s">
        <v>1967</v>
      </c>
      <c r="C167" s="233" t="s">
        <v>1974</v>
      </c>
      <c r="D167" s="233" t="s">
        <v>473</v>
      </c>
      <c r="E167" s="233"/>
      <c r="F167" s="101" t="s">
        <v>1975</v>
      </c>
      <c r="G167" s="157" t="s">
        <v>1976</v>
      </c>
      <c r="H167" s="233" t="s">
        <v>1977</v>
      </c>
      <c r="I167" s="381" t="s">
        <v>1978</v>
      </c>
      <c r="J167" s="10"/>
      <c r="K167" s="10" t="s">
        <v>94</v>
      </c>
      <c r="L167" s="19" t="s">
        <v>777</v>
      </c>
      <c r="M167" s="214">
        <v>1061000</v>
      </c>
      <c r="N167" s="214">
        <v>1277100</v>
      </c>
      <c r="O167" s="19"/>
      <c r="P167" s="22" t="s">
        <v>1979</v>
      </c>
      <c r="Q167" s="19"/>
      <c r="R167" s="165">
        <v>0.4</v>
      </c>
      <c r="S167" s="214">
        <f>(M167-3000*12)*0.4</f>
        <v>410000</v>
      </c>
      <c r="T167" s="26"/>
      <c r="U167" s="220">
        <f>(M167-3000*12)*0.68</f>
        <v>697000</v>
      </c>
      <c r="V167" s="220">
        <f t="shared" si="20"/>
        <v>287000</v>
      </c>
      <c r="W167" s="19" t="s">
        <v>663</v>
      </c>
    </row>
    <row r="168" spans="1:24" ht="47.25" x14ac:dyDescent="0.25">
      <c r="A168" s="19">
        <v>160</v>
      </c>
      <c r="B168" s="22" t="s">
        <v>1980</v>
      </c>
      <c r="C168" s="233" t="s">
        <v>1981</v>
      </c>
      <c r="D168" s="233" t="s">
        <v>1686</v>
      </c>
      <c r="E168" s="233"/>
      <c r="F168" s="101" t="s">
        <v>1982</v>
      </c>
      <c r="G168" s="157"/>
      <c r="H168" s="233"/>
      <c r="I168" s="19"/>
      <c r="J168" s="10"/>
      <c r="K168" s="10" t="s">
        <v>94</v>
      </c>
      <c r="L168" s="19" t="s">
        <v>777</v>
      </c>
      <c r="M168" s="214">
        <v>1061000</v>
      </c>
      <c r="N168" s="214">
        <v>1277100</v>
      </c>
      <c r="O168" s="19"/>
      <c r="P168" s="22" t="s">
        <v>1979</v>
      </c>
      <c r="Q168" s="19"/>
      <c r="R168" s="165">
        <v>0.47</v>
      </c>
      <c r="S168" s="214">
        <f>(M168-3000*12)*0.47</f>
        <v>481750</v>
      </c>
      <c r="T168" s="26"/>
      <c r="U168" s="220">
        <f>(M168-3000*12)*0.68</f>
        <v>697000</v>
      </c>
      <c r="V168" s="220">
        <f t="shared" si="20"/>
        <v>215250</v>
      </c>
      <c r="W168" s="19" t="s">
        <v>663</v>
      </c>
    </row>
    <row r="169" spans="1:24" ht="47.25" x14ac:dyDescent="0.25">
      <c r="A169" s="19">
        <v>161</v>
      </c>
      <c r="B169" s="22" t="s">
        <v>1980</v>
      </c>
      <c r="C169" s="233" t="s">
        <v>1985</v>
      </c>
      <c r="D169" s="233" t="s">
        <v>1987</v>
      </c>
      <c r="E169" s="233"/>
      <c r="F169" s="101" t="s">
        <v>1988</v>
      </c>
      <c r="G169" s="157" t="s">
        <v>1986</v>
      </c>
      <c r="H169" s="233" t="s">
        <v>1989</v>
      </c>
      <c r="I169" s="19"/>
      <c r="J169" s="10" t="s">
        <v>1990</v>
      </c>
      <c r="K169" s="10" t="s">
        <v>83</v>
      </c>
      <c r="L169" s="19" t="s">
        <v>572</v>
      </c>
      <c r="M169" s="214">
        <v>2828000</v>
      </c>
      <c r="N169" s="214">
        <v>3110800</v>
      </c>
      <c r="O169" s="19"/>
      <c r="P169" s="22" t="s">
        <v>1991</v>
      </c>
      <c r="Q169" s="19"/>
      <c r="R169" s="19"/>
      <c r="S169" s="214">
        <v>500000</v>
      </c>
      <c r="T169" s="26"/>
      <c r="U169" s="220">
        <f>(M169-3000*36)*0.68</f>
        <v>1849600.0000000002</v>
      </c>
      <c r="V169" s="220">
        <f t="shared" si="20"/>
        <v>1349600.0000000002</v>
      </c>
      <c r="W169" s="19" t="s">
        <v>663</v>
      </c>
      <c r="X169" s="23" t="s">
        <v>1992</v>
      </c>
    </row>
    <row r="170" spans="1:24" s="426" customFormat="1" ht="47.25" x14ac:dyDescent="0.25">
      <c r="A170" s="418">
        <v>162</v>
      </c>
      <c r="B170" s="419" t="s">
        <v>1980</v>
      </c>
      <c r="C170" s="420" t="s">
        <v>1993</v>
      </c>
      <c r="D170" s="420" t="s">
        <v>1994</v>
      </c>
      <c r="E170" s="420"/>
      <c r="F170" s="421" t="s">
        <v>1995</v>
      </c>
      <c r="G170" s="422" t="s">
        <v>1082</v>
      </c>
      <c r="H170" s="420"/>
      <c r="I170" s="423" t="s">
        <v>1085</v>
      </c>
      <c r="J170" s="418" t="s">
        <v>1996</v>
      </c>
      <c r="K170" s="424" t="s">
        <v>94</v>
      </c>
      <c r="L170" s="424" t="str">
        <f>L169</f>
        <v>3 năm</v>
      </c>
      <c r="M170" s="425">
        <v>2643000</v>
      </c>
      <c r="N170" s="415">
        <v>2907300</v>
      </c>
      <c r="O170" s="418"/>
      <c r="P170" s="419" t="s">
        <v>1991</v>
      </c>
      <c r="Q170" s="418"/>
      <c r="R170" s="418"/>
      <c r="S170" s="273">
        <f>N170-2198000</f>
        <v>709300</v>
      </c>
      <c r="T170" s="590"/>
      <c r="U170" s="274">
        <f>(M170-3000*36)*0.68</f>
        <v>1723800.0000000002</v>
      </c>
      <c r="V170" s="274">
        <f t="shared" si="20"/>
        <v>1014500.0000000002</v>
      </c>
      <c r="W170" s="418"/>
    </row>
    <row r="171" spans="1:24" s="7" customFormat="1" ht="47.25" x14ac:dyDescent="0.25">
      <c r="A171" s="10">
        <v>163</v>
      </c>
      <c r="B171" s="122" t="s">
        <v>1980</v>
      </c>
      <c r="C171" s="234" t="s">
        <v>1997</v>
      </c>
      <c r="D171" s="234" t="s">
        <v>1279</v>
      </c>
      <c r="E171" s="234"/>
      <c r="F171" s="29" t="s">
        <v>1998</v>
      </c>
      <c r="G171" s="157" t="s">
        <v>1999</v>
      </c>
      <c r="H171" s="234" t="s">
        <v>2000</v>
      </c>
      <c r="I171" s="310"/>
      <c r="J171" s="10"/>
      <c r="K171" s="10" t="s">
        <v>94</v>
      </c>
      <c r="L171" s="10" t="s">
        <v>777</v>
      </c>
      <c r="M171" s="11">
        <v>1061000</v>
      </c>
      <c r="N171" s="214">
        <v>1277100</v>
      </c>
      <c r="O171" s="10"/>
      <c r="P171" s="122" t="s">
        <v>2001</v>
      </c>
      <c r="Q171" s="10"/>
      <c r="R171" s="98">
        <v>0.47</v>
      </c>
      <c r="S171" s="214">
        <f>(M171-3000*12)*47%</f>
        <v>481750</v>
      </c>
      <c r="T171" s="38"/>
      <c r="U171" s="220">
        <f>(M171-3000*12)*0.68</f>
        <v>697000</v>
      </c>
      <c r="V171" s="220">
        <f t="shared" si="20"/>
        <v>215250</v>
      </c>
      <c r="W171" s="10" t="s">
        <v>663</v>
      </c>
    </row>
    <row r="172" spans="1:24" ht="47.25" x14ac:dyDescent="0.25">
      <c r="A172" s="19">
        <v>164</v>
      </c>
      <c r="B172" s="22" t="s">
        <v>2015</v>
      </c>
      <c r="C172" s="233" t="s">
        <v>2016</v>
      </c>
      <c r="D172" s="233" t="s">
        <v>473</v>
      </c>
      <c r="E172" s="233"/>
      <c r="F172" s="101" t="s">
        <v>2017</v>
      </c>
      <c r="G172" s="157" t="s">
        <v>2018</v>
      </c>
      <c r="H172" s="438" t="s">
        <v>2023</v>
      </c>
      <c r="I172" s="381"/>
      <c r="J172" s="10"/>
      <c r="K172" s="10" t="s">
        <v>94</v>
      </c>
      <c r="L172" s="19" t="s">
        <v>572</v>
      </c>
      <c r="M172" s="214">
        <v>2643000</v>
      </c>
      <c r="N172" s="364">
        <v>2907300</v>
      </c>
      <c r="O172" s="19"/>
      <c r="P172" s="22" t="s">
        <v>2027</v>
      </c>
      <c r="Q172" s="19"/>
      <c r="R172" s="165">
        <v>0.4</v>
      </c>
      <c r="S172" s="214">
        <f>(M172-3000*36)*0.4</f>
        <v>1014000</v>
      </c>
      <c r="T172" s="26" t="s">
        <v>1668</v>
      </c>
      <c r="U172" s="220">
        <f>(M172-3000*36)*0.68</f>
        <v>1723800.0000000002</v>
      </c>
      <c r="V172" s="220">
        <f t="shared" si="20"/>
        <v>709800.00000000023</v>
      </c>
      <c r="W172" s="19" t="s">
        <v>663</v>
      </c>
    </row>
    <row r="173" spans="1:24" ht="63" x14ac:dyDescent="0.25">
      <c r="A173" s="19">
        <v>165</v>
      </c>
      <c r="B173" s="22" t="s">
        <v>2019</v>
      </c>
      <c r="C173" s="233" t="s">
        <v>2020</v>
      </c>
      <c r="D173" s="233" t="s">
        <v>562</v>
      </c>
      <c r="E173" s="233"/>
      <c r="F173" s="101" t="s">
        <v>2021</v>
      </c>
      <c r="G173" s="157" t="s">
        <v>2022</v>
      </c>
      <c r="H173" s="233" t="s">
        <v>2024</v>
      </c>
      <c r="I173" s="381" t="s">
        <v>2025</v>
      </c>
      <c r="J173" s="10"/>
      <c r="K173" s="10" t="s">
        <v>94</v>
      </c>
      <c r="L173" s="19" t="s">
        <v>572</v>
      </c>
      <c r="M173" s="214">
        <v>2643000</v>
      </c>
      <c r="N173" s="364">
        <v>2907300</v>
      </c>
      <c r="O173" s="19"/>
      <c r="P173" s="22" t="s">
        <v>2026</v>
      </c>
      <c r="Q173" s="19"/>
      <c r="R173" s="165">
        <v>0.4</v>
      </c>
      <c r="S173" s="214">
        <f>(M173-3000*36)*0.4</f>
        <v>1014000</v>
      </c>
      <c r="T173" s="26" t="s">
        <v>1675</v>
      </c>
      <c r="U173" s="220">
        <f>(M173-3000*36)*0.68</f>
        <v>1723800.0000000002</v>
      </c>
      <c r="V173" s="220">
        <f t="shared" si="20"/>
        <v>709800.00000000023</v>
      </c>
      <c r="W173" s="19" t="s">
        <v>663</v>
      </c>
    </row>
    <row r="174" spans="1:24" ht="63" x14ac:dyDescent="0.25">
      <c r="A174" s="19">
        <v>166</v>
      </c>
      <c r="B174" s="22" t="s">
        <v>2019</v>
      </c>
      <c r="C174" s="233" t="s">
        <v>2028</v>
      </c>
      <c r="D174" s="233" t="s">
        <v>562</v>
      </c>
      <c r="E174" s="233"/>
      <c r="F174" s="101" t="s">
        <v>2029</v>
      </c>
      <c r="G174" s="157" t="s">
        <v>1902</v>
      </c>
      <c r="H174" s="233" t="s">
        <v>2030</v>
      </c>
      <c r="I174" s="381" t="s">
        <v>2031</v>
      </c>
      <c r="J174" s="10"/>
      <c r="K174" s="10" t="s">
        <v>94</v>
      </c>
      <c r="L174" s="10" t="s">
        <v>777</v>
      </c>
      <c r="M174" s="214">
        <v>1061000</v>
      </c>
      <c r="N174" s="214">
        <v>1277100</v>
      </c>
      <c r="O174" s="19"/>
      <c r="P174" s="22" t="s">
        <v>2032</v>
      </c>
      <c r="Q174" s="19"/>
      <c r="R174" s="165">
        <v>0.4</v>
      </c>
      <c r="S174" s="214">
        <f>(M174-3000*12)*0.4</f>
        <v>410000</v>
      </c>
      <c r="T174" s="26" t="s">
        <v>1304</v>
      </c>
      <c r="U174" s="220">
        <f>(M174-3000*12)*0.68</f>
        <v>697000</v>
      </c>
      <c r="V174" s="220">
        <f t="shared" si="20"/>
        <v>287000</v>
      </c>
      <c r="W174" s="19" t="s">
        <v>663</v>
      </c>
    </row>
    <row r="175" spans="1:24" ht="63" x14ac:dyDescent="0.25">
      <c r="A175" s="19">
        <v>167</v>
      </c>
      <c r="B175" s="22" t="s">
        <v>2019</v>
      </c>
      <c r="C175" s="233" t="s">
        <v>2033</v>
      </c>
      <c r="D175" s="233" t="s">
        <v>562</v>
      </c>
      <c r="E175" s="233"/>
      <c r="F175" s="101" t="s">
        <v>2035</v>
      </c>
      <c r="G175" s="157" t="s">
        <v>2036</v>
      </c>
      <c r="H175" s="233" t="s">
        <v>2034</v>
      </c>
      <c r="I175" s="381" t="s">
        <v>2037</v>
      </c>
      <c r="J175" s="10"/>
      <c r="K175" s="10" t="s">
        <v>94</v>
      </c>
      <c r="L175" s="19" t="s">
        <v>572</v>
      </c>
      <c r="M175" s="214">
        <v>2643000</v>
      </c>
      <c r="N175" s="364">
        <v>2907300</v>
      </c>
      <c r="O175" s="19"/>
      <c r="P175" s="22" t="s">
        <v>2026</v>
      </c>
      <c r="Q175" s="19"/>
      <c r="R175" s="165">
        <v>0.4</v>
      </c>
      <c r="S175" s="214">
        <f>(M175-3000*36)*0.4</f>
        <v>1014000</v>
      </c>
      <c r="T175" s="26" t="s">
        <v>2131</v>
      </c>
      <c r="U175" s="220">
        <f t="shared" ref="U175:U200" si="22">(M175-3000*36)*0.68</f>
        <v>1723800.0000000002</v>
      </c>
      <c r="V175" s="220">
        <f t="shared" si="20"/>
        <v>709800.00000000023</v>
      </c>
      <c r="W175" s="19" t="s">
        <v>663</v>
      </c>
    </row>
    <row r="176" spans="1:24" ht="47.25" x14ac:dyDescent="0.25">
      <c r="A176" s="19">
        <v>168</v>
      </c>
      <c r="B176" s="22" t="s">
        <v>2047</v>
      </c>
      <c r="C176" s="233" t="s">
        <v>2048</v>
      </c>
      <c r="D176" s="233" t="s">
        <v>473</v>
      </c>
      <c r="E176" s="233"/>
      <c r="F176" s="101" t="s">
        <v>2049</v>
      </c>
      <c r="G176" s="157" t="s">
        <v>2050</v>
      </c>
      <c r="H176" s="438" t="s">
        <v>2051</v>
      </c>
      <c r="I176" s="381"/>
      <c r="J176" s="10"/>
      <c r="K176" s="10" t="s">
        <v>94</v>
      </c>
      <c r="L176" s="19" t="s">
        <v>572</v>
      </c>
      <c r="M176" s="214">
        <v>2643000</v>
      </c>
      <c r="N176" s="364">
        <v>2907300</v>
      </c>
      <c r="O176" s="19"/>
      <c r="P176" s="22" t="s">
        <v>2052</v>
      </c>
      <c r="Q176" s="19"/>
      <c r="R176" s="165">
        <v>0.4</v>
      </c>
      <c r="S176" s="214">
        <f>(M176-3000*36)*0.4</f>
        <v>1014000</v>
      </c>
      <c r="T176" s="26" t="s">
        <v>1079</v>
      </c>
      <c r="U176" s="220">
        <f t="shared" si="22"/>
        <v>1723800.0000000002</v>
      </c>
      <c r="V176" s="220">
        <f t="shared" si="20"/>
        <v>709800.00000000023</v>
      </c>
      <c r="W176" s="19" t="s">
        <v>663</v>
      </c>
    </row>
    <row r="177" spans="1:23" ht="47.25" x14ac:dyDescent="0.25">
      <c r="A177" s="19">
        <v>169</v>
      </c>
      <c r="B177" s="22" t="s">
        <v>2053</v>
      </c>
      <c r="C177" s="233" t="s">
        <v>2054</v>
      </c>
      <c r="D177" s="233" t="s">
        <v>1987</v>
      </c>
      <c r="E177" s="233"/>
      <c r="F177" s="101" t="s">
        <v>2055</v>
      </c>
      <c r="G177" s="157" t="s">
        <v>2056</v>
      </c>
      <c r="H177" s="233" t="s">
        <v>1989</v>
      </c>
      <c r="J177" s="10"/>
      <c r="K177" s="10" t="s">
        <v>83</v>
      </c>
      <c r="L177" s="19" t="s">
        <v>572</v>
      </c>
      <c r="M177" s="214">
        <v>2828000</v>
      </c>
      <c r="N177" s="214">
        <v>3110800</v>
      </c>
      <c r="O177" s="19"/>
      <c r="P177" s="22" t="s">
        <v>2053</v>
      </c>
      <c r="Q177" s="19"/>
      <c r="R177" s="165">
        <v>0.4</v>
      </c>
      <c r="S177" s="214">
        <f>(M177-3000*36)*0.4</f>
        <v>1088000</v>
      </c>
      <c r="T177" s="26" t="s">
        <v>1079</v>
      </c>
      <c r="U177" s="220">
        <f t="shared" si="22"/>
        <v>1849600.0000000002</v>
      </c>
      <c r="V177" s="220">
        <f t="shared" si="20"/>
        <v>761600.00000000023</v>
      </c>
      <c r="W177" s="19" t="s">
        <v>663</v>
      </c>
    </row>
    <row r="178" spans="1:23" ht="63" x14ac:dyDescent="0.25">
      <c r="A178" s="19">
        <v>170</v>
      </c>
      <c r="B178" s="22" t="s">
        <v>2053</v>
      </c>
      <c r="C178" s="233" t="s">
        <v>2060</v>
      </c>
      <c r="D178" s="233" t="s">
        <v>1686</v>
      </c>
      <c r="E178" s="233"/>
      <c r="F178" s="101" t="s">
        <v>2062</v>
      </c>
      <c r="G178" s="157" t="s">
        <v>2061</v>
      </c>
      <c r="H178" s="233" t="s">
        <v>556</v>
      </c>
      <c r="I178" s="381"/>
      <c r="J178" s="10"/>
      <c r="K178" s="10" t="s">
        <v>83</v>
      </c>
      <c r="L178" s="19" t="s">
        <v>572</v>
      </c>
      <c r="M178" s="214">
        <v>2828000</v>
      </c>
      <c r="N178" s="214">
        <v>3110800</v>
      </c>
      <c r="O178" s="19"/>
      <c r="P178" s="22" t="s">
        <v>2053</v>
      </c>
      <c r="Q178" s="19"/>
      <c r="R178" s="165">
        <v>0.47</v>
      </c>
      <c r="S178" s="214">
        <f>(M178-3000*36)*0.47</f>
        <v>1278400</v>
      </c>
      <c r="T178" s="26"/>
      <c r="U178" s="220">
        <f t="shared" si="22"/>
        <v>1849600.0000000002</v>
      </c>
      <c r="V178" s="220">
        <f t="shared" si="20"/>
        <v>571200.00000000023</v>
      </c>
      <c r="W178" s="19"/>
    </row>
    <row r="179" spans="1:23" ht="47.25" x14ac:dyDescent="0.25">
      <c r="A179" s="19">
        <v>171</v>
      </c>
      <c r="B179" s="22" t="s">
        <v>2063</v>
      </c>
      <c r="C179" s="233" t="s">
        <v>2069</v>
      </c>
      <c r="D179" s="234" t="s">
        <v>475</v>
      </c>
      <c r="E179" s="234"/>
      <c r="F179" s="101" t="s">
        <v>2070</v>
      </c>
      <c r="G179" s="157" t="s">
        <v>2071</v>
      </c>
      <c r="H179" s="233" t="s">
        <v>2073</v>
      </c>
      <c r="I179" s="381"/>
      <c r="J179" s="10" t="s">
        <v>2072</v>
      </c>
      <c r="K179" s="10" t="s">
        <v>83</v>
      </c>
      <c r="L179" s="19" t="s">
        <v>572</v>
      </c>
      <c r="M179" s="214">
        <v>2828000</v>
      </c>
      <c r="N179" s="214">
        <v>3110800</v>
      </c>
      <c r="O179" s="19"/>
      <c r="P179" s="22" t="s">
        <v>2074</v>
      </c>
      <c r="Q179" s="19"/>
      <c r="R179" s="165">
        <v>0.4</v>
      </c>
      <c r="S179" s="214">
        <f>(M179-3000*36)*0.4</f>
        <v>1088000</v>
      </c>
      <c r="T179" s="26"/>
      <c r="U179" s="220">
        <f t="shared" si="22"/>
        <v>1849600.0000000002</v>
      </c>
      <c r="V179" s="220">
        <f t="shared" si="20"/>
        <v>761600.00000000023</v>
      </c>
      <c r="W179" s="19" t="s">
        <v>663</v>
      </c>
    </row>
    <row r="180" spans="1:23" ht="47.25" x14ac:dyDescent="0.25">
      <c r="A180" s="19">
        <v>172</v>
      </c>
      <c r="B180" s="22" t="s">
        <v>2063</v>
      </c>
      <c r="C180" s="233" t="s">
        <v>2075</v>
      </c>
      <c r="D180" s="233" t="s">
        <v>473</v>
      </c>
      <c r="E180" s="233"/>
      <c r="F180" s="101" t="s">
        <v>2076</v>
      </c>
      <c r="G180" s="157" t="s">
        <v>2077</v>
      </c>
      <c r="H180" s="233" t="s">
        <v>2078</v>
      </c>
      <c r="I180" s="381"/>
      <c r="J180" s="10" t="s">
        <v>2079</v>
      </c>
      <c r="K180" s="10" t="s">
        <v>94</v>
      </c>
      <c r="L180" s="19" t="s">
        <v>756</v>
      </c>
      <c r="M180" s="214">
        <v>1992000</v>
      </c>
      <c r="N180" s="214">
        <v>2191200</v>
      </c>
      <c r="O180" s="19"/>
      <c r="P180" s="22" t="s">
        <v>2080</v>
      </c>
      <c r="Q180" s="19"/>
      <c r="R180" s="165">
        <v>0.4</v>
      </c>
      <c r="S180" s="214">
        <f>(M180-3000*24)*0.47</f>
        <v>902400</v>
      </c>
      <c r="T180" s="26" t="s">
        <v>1304</v>
      </c>
      <c r="U180" s="220">
        <f t="shared" si="22"/>
        <v>1281120</v>
      </c>
      <c r="V180" s="220">
        <f t="shared" si="20"/>
        <v>378720</v>
      </c>
      <c r="W180" s="19" t="s">
        <v>663</v>
      </c>
    </row>
    <row r="181" spans="1:23" ht="31.5" x14ac:dyDescent="0.25">
      <c r="A181" s="19">
        <v>173</v>
      </c>
      <c r="B181" s="22" t="s">
        <v>2063</v>
      </c>
      <c r="C181" s="233" t="s">
        <v>2082</v>
      </c>
      <c r="D181" s="234" t="s">
        <v>562</v>
      </c>
      <c r="E181" s="234"/>
      <c r="F181" s="101" t="s">
        <v>2081</v>
      </c>
      <c r="G181" s="157" t="s">
        <v>2083</v>
      </c>
      <c r="H181" s="233" t="s">
        <v>2084</v>
      </c>
      <c r="I181" s="381"/>
      <c r="J181" s="10" t="s">
        <v>2085</v>
      </c>
      <c r="K181" s="10" t="s">
        <v>94</v>
      </c>
      <c r="L181" s="19" t="s">
        <v>572</v>
      </c>
      <c r="M181" s="214">
        <v>2643000</v>
      </c>
      <c r="N181" s="364">
        <v>2907300</v>
      </c>
      <c r="O181" s="19"/>
      <c r="P181" s="22" t="s">
        <v>2074</v>
      </c>
      <c r="Q181" s="19"/>
      <c r="R181" s="165">
        <v>0.4</v>
      </c>
      <c r="S181" s="214">
        <f>(M181-3000*36)*0.4</f>
        <v>1014000</v>
      </c>
      <c r="T181" s="26" t="s">
        <v>1079</v>
      </c>
      <c r="U181" s="220">
        <f t="shared" si="22"/>
        <v>1723800.0000000002</v>
      </c>
      <c r="V181" s="220">
        <f t="shared" si="20"/>
        <v>709800.00000000023</v>
      </c>
      <c r="W181" s="19" t="s">
        <v>663</v>
      </c>
    </row>
    <row r="182" spans="1:23" ht="47.25" x14ac:dyDescent="0.25">
      <c r="A182" s="19">
        <v>174</v>
      </c>
      <c r="B182" s="22" t="s">
        <v>2087</v>
      </c>
      <c r="C182" s="233" t="s">
        <v>1500</v>
      </c>
      <c r="D182" s="234" t="s">
        <v>2086</v>
      </c>
      <c r="E182" s="234"/>
      <c r="F182" s="101" t="s">
        <v>1548</v>
      </c>
      <c r="G182" s="157" t="s">
        <v>2088</v>
      </c>
      <c r="H182" s="233" t="s">
        <v>2089</v>
      </c>
      <c r="I182" s="381" t="s">
        <v>2090</v>
      </c>
      <c r="J182" s="10" t="s">
        <v>2091</v>
      </c>
      <c r="K182" s="10" t="s">
        <v>83</v>
      </c>
      <c r="L182" s="19" t="s">
        <v>572</v>
      </c>
      <c r="M182" s="214">
        <v>2828000</v>
      </c>
      <c r="N182" s="214">
        <v>3110800</v>
      </c>
      <c r="O182" s="19"/>
      <c r="P182" s="22" t="s">
        <v>2074</v>
      </c>
      <c r="Q182" s="19"/>
      <c r="R182" s="165"/>
      <c r="S182" s="214">
        <v>1220800</v>
      </c>
      <c r="T182" s="26"/>
      <c r="U182" s="220">
        <f t="shared" si="22"/>
        <v>1849600.0000000002</v>
      </c>
      <c r="V182" s="220">
        <f t="shared" si="20"/>
        <v>628800.00000000023</v>
      </c>
      <c r="W182" s="19" t="s">
        <v>663</v>
      </c>
    </row>
    <row r="183" spans="1:23" ht="31.5" x14ac:dyDescent="0.25">
      <c r="A183" s="19">
        <v>175</v>
      </c>
      <c r="B183" s="22" t="s">
        <v>2087</v>
      </c>
      <c r="C183" s="233" t="s">
        <v>2097</v>
      </c>
      <c r="D183" s="233" t="s">
        <v>2086</v>
      </c>
      <c r="E183" s="577"/>
      <c r="F183" s="440" t="s">
        <v>2098</v>
      </c>
      <c r="G183" s="157"/>
      <c r="H183" s="233"/>
      <c r="I183" s="381" t="s">
        <v>2090</v>
      </c>
      <c r="J183" s="10"/>
      <c r="K183" s="10" t="s">
        <v>83</v>
      </c>
      <c r="L183" s="19" t="s">
        <v>572</v>
      </c>
      <c r="M183" s="214">
        <v>2828000</v>
      </c>
      <c r="N183" s="214">
        <v>3110800</v>
      </c>
      <c r="O183" s="19"/>
      <c r="P183" s="22" t="s">
        <v>2074</v>
      </c>
      <c r="Q183" s="19"/>
      <c r="R183" s="19"/>
      <c r="S183" s="214">
        <v>1220800</v>
      </c>
      <c r="T183" s="26"/>
      <c r="U183" s="220">
        <f t="shared" si="22"/>
        <v>1849600.0000000002</v>
      </c>
      <c r="V183" s="220">
        <f t="shared" si="20"/>
        <v>628800.00000000023</v>
      </c>
      <c r="W183" s="19" t="s">
        <v>663</v>
      </c>
    </row>
    <row r="184" spans="1:23" ht="47.25" x14ac:dyDescent="0.25">
      <c r="A184" s="19">
        <v>176</v>
      </c>
      <c r="B184" s="19" t="s">
        <v>2087</v>
      </c>
      <c r="C184" s="233" t="s">
        <v>2099</v>
      </c>
      <c r="D184" s="233" t="s">
        <v>562</v>
      </c>
      <c r="E184" s="233"/>
      <c r="F184" s="101" t="s">
        <v>2102</v>
      </c>
      <c r="G184" s="157" t="s">
        <v>2101</v>
      </c>
      <c r="H184" s="101" t="s">
        <v>2100</v>
      </c>
      <c r="I184" s="19"/>
      <c r="J184" s="10"/>
      <c r="K184" s="10" t="s">
        <v>94</v>
      </c>
      <c r="L184" s="10" t="s">
        <v>777</v>
      </c>
      <c r="M184" s="11">
        <v>1061000</v>
      </c>
      <c r="N184" s="214">
        <v>1277100</v>
      </c>
      <c r="O184" s="19"/>
      <c r="P184" s="22" t="s">
        <v>2103</v>
      </c>
      <c r="Q184" s="19"/>
      <c r="R184" s="165">
        <v>0.4</v>
      </c>
      <c r="S184" s="214">
        <f>(M184-3000*12)*0.4</f>
        <v>410000</v>
      </c>
      <c r="T184" s="26" t="s">
        <v>2104</v>
      </c>
      <c r="U184" s="220">
        <f>(M184-3000*12)*0.68</f>
        <v>697000</v>
      </c>
      <c r="V184" s="220">
        <f t="shared" si="20"/>
        <v>287000</v>
      </c>
      <c r="W184" s="19" t="s">
        <v>663</v>
      </c>
    </row>
    <row r="185" spans="1:23" ht="31.5" x14ac:dyDescent="0.25">
      <c r="A185" s="19">
        <v>177</v>
      </c>
      <c r="B185" s="19" t="s">
        <v>2087</v>
      </c>
      <c r="C185" s="233" t="s">
        <v>2105</v>
      </c>
      <c r="D185" s="233" t="s">
        <v>474</v>
      </c>
      <c r="E185" s="233"/>
      <c r="F185" s="101" t="s">
        <v>2106</v>
      </c>
      <c r="G185" s="157" t="s">
        <v>2107</v>
      </c>
      <c r="H185" s="101" t="s">
        <v>338</v>
      </c>
      <c r="I185" s="381" t="s">
        <v>217</v>
      </c>
      <c r="J185" s="10" t="s">
        <v>822</v>
      </c>
      <c r="K185" s="10" t="s">
        <v>83</v>
      </c>
      <c r="L185" s="19" t="s">
        <v>777</v>
      </c>
      <c r="M185" s="214">
        <v>1161000</v>
      </c>
      <c r="N185" s="214">
        <v>1827100</v>
      </c>
      <c r="O185" s="266"/>
      <c r="P185" s="22" t="s">
        <v>2103</v>
      </c>
      <c r="Q185" s="266"/>
      <c r="R185" s="165">
        <v>0.4</v>
      </c>
      <c r="S185" s="214">
        <f>(M185-3000*12)*0.4</f>
        <v>450000</v>
      </c>
      <c r="T185" s="26"/>
      <c r="U185" s="220">
        <f>(M185-3000*12)*0.68</f>
        <v>765000</v>
      </c>
      <c r="V185" s="220">
        <f t="shared" si="20"/>
        <v>315000</v>
      </c>
      <c r="W185" s="220" t="s">
        <v>1923</v>
      </c>
    </row>
    <row r="186" spans="1:23" ht="31.5" x14ac:dyDescent="0.25">
      <c r="A186" s="19">
        <v>178</v>
      </c>
      <c r="B186" s="19" t="s">
        <v>2109</v>
      </c>
      <c r="C186" s="233" t="s">
        <v>2111</v>
      </c>
      <c r="D186" s="233" t="s">
        <v>562</v>
      </c>
      <c r="E186" s="233"/>
      <c r="F186" s="101" t="s">
        <v>2110</v>
      </c>
      <c r="G186" s="157"/>
      <c r="H186" s="101" t="s">
        <v>2112</v>
      </c>
      <c r="I186" s="381" t="s">
        <v>2113</v>
      </c>
      <c r="J186" s="10"/>
      <c r="K186" s="10" t="s">
        <v>83</v>
      </c>
      <c r="L186" s="19" t="s">
        <v>572</v>
      </c>
      <c r="M186" s="214">
        <v>2828000</v>
      </c>
      <c r="N186" s="214">
        <v>3110800</v>
      </c>
      <c r="O186" s="19"/>
      <c r="P186" s="22" t="s">
        <v>2114</v>
      </c>
      <c r="Q186" s="19"/>
      <c r="R186" s="165">
        <v>0.4</v>
      </c>
      <c r="S186" s="214">
        <f>(M186-3000*36)*0.4</f>
        <v>1088000</v>
      </c>
      <c r="T186" s="26" t="s">
        <v>2115</v>
      </c>
      <c r="U186" s="220">
        <f t="shared" si="22"/>
        <v>1849600.0000000002</v>
      </c>
      <c r="V186" s="220">
        <f t="shared" si="20"/>
        <v>761600.00000000023</v>
      </c>
      <c r="W186" s="19" t="s">
        <v>663</v>
      </c>
    </row>
    <row r="187" spans="1:23" ht="31.5" x14ac:dyDescent="0.25">
      <c r="A187" s="19">
        <v>179</v>
      </c>
      <c r="B187" s="22">
        <v>43773</v>
      </c>
      <c r="C187" s="233" t="s">
        <v>2128</v>
      </c>
      <c r="D187" s="233" t="s">
        <v>1686</v>
      </c>
      <c r="E187" s="233"/>
      <c r="F187" s="101" t="s">
        <v>2129</v>
      </c>
      <c r="G187" s="157"/>
      <c r="H187" s="101" t="s">
        <v>2130</v>
      </c>
      <c r="I187" s="19"/>
      <c r="J187" s="10"/>
      <c r="K187" s="10" t="s">
        <v>94</v>
      </c>
      <c r="L187" s="19" t="s">
        <v>572</v>
      </c>
      <c r="M187" s="214">
        <v>2643000</v>
      </c>
      <c r="N187" s="364">
        <v>2907300</v>
      </c>
      <c r="O187" s="19"/>
      <c r="P187" s="22">
        <v>44869</v>
      </c>
      <c r="Q187" s="19"/>
      <c r="R187" s="165">
        <v>0.47</v>
      </c>
      <c r="S187" s="214">
        <f>(M187-3000*36)*0.47</f>
        <v>1191450</v>
      </c>
      <c r="T187" s="26"/>
      <c r="U187" s="220">
        <f t="shared" si="22"/>
        <v>1723800.0000000002</v>
      </c>
      <c r="V187" s="220">
        <f t="shared" si="20"/>
        <v>532350.00000000023</v>
      </c>
      <c r="W187" s="19" t="s">
        <v>2287</v>
      </c>
    </row>
    <row r="188" spans="1:23" ht="31.5" x14ac:dyDescent="0.25">
      <c r="A188" s="19">
        <v>180</v>
      </c>
      <c r="B188" s="22">
        <v>43774</v>
      </c>
      <c r="C188" s="233" t="s">
        <v>2132</v>
      </c>
      <c r="D188" s="233" t="s">
        <v>1686</v>
      </c>
      <c r="E188" s="233"/>
      <c r="F188" s="101" t="s">
        <v>2133</v>
      </c>
      <c r="G188" s="157"/>
      <c r="H188" s="101" t="s">
        <v>2130</v>
      </c>
      <c r="I188" s="19"/>
      <c r="J188" s="10"/>
      <c r="K188" s="10" t="s">
        <v>94</v>
      </c>
      <c r="L188" s="19" t="s">
        <v>572</v>
      </c>
      <c r="M188" s="214">
        <v>2643000</v>
      </c>
      <c r="N188" s="364">
        <v>2907300</v>
      </c>
      <c r="O188" s="19"/>
      <c r="P188" s="22">
        <v>44870</v>
      </c>
      <c r="Q188" s="19"/>
      <c r="R188" s="165">
        <v>0.47</v>
      </c>
      <c r="S188" s="214">
        <f>(M188-3000*36)*0.47</f>
        <v>1191450</v>
      </c>
      <c r="T188" s="26"/>
      <c r="U188" s="220">
        <f t="shared" si="22"/>
        <v>1723800.0000000002</v>
      </c>
      <c r="V188" s="220">
        <f t="shared" si="20"/>
        <v>532350.00000000023</v>
      </c>
      <c r="W188" s="19" t="s">
        <v>2286</v>
      </c>
    </row>
    <row r="189" spans="1:23" ht="31.5" x14ac:dyDescent="0.25">
      <c r="A189" s="19">
        <v>181</v>
      </c>
      <c r="B189" s="22">
        <v>43774</v>
      </c>
      <c r="C189" s="233" t="s">
        <v>2132</v>
      </c>
      <c r="D189" s="233" t="s">
        <v>1686</v>
      </c>
      <c r="E189" s="233"/>
      <c r="F189" s="101" t="s">
        <v>2133</v>
      </c>
      <c r="G189" s="157"/>
      <c r="H189" s="101" t="s">
        <v>2130</v>
      </c>
      <c r="I189" s="19"/>
      <c r="J189" s="10"/>
      <c r="K189" s="10" t="s">
        <v>94</v>
      </c>
      <c r="L189" s="19" t="s">
        <v>572</v>
      </c>
      <c r="M189" s="214">
        <v>2643000</v>
      </c>
      <c r="N189" s="364">
        <v>2907300</v>
      </c>
      <c r="O189" s="19"/>
      <c r="P189" s="22">
        <v>44870</v>
      </c>
      <c r="Q189" s="19"/>
      <c r="R189" s="165">
        <v>0.47</v>
      </c>
      <c r="S189" s="214">
        <f>(M189-3000*36)*0.47</f>
        <v>1191450</v>
      </c>
      <c r="T189" s="26"/>
      <c r="U189" s="220">
        <f t="shared" si="22"/>
        <v>1723800.0000000002</v>
      </c>
      <c r="V189" s="220">
        <f t="shared" si="20"/>
        <v>532350.00000000023</v>
      </c>
      <c r="W189" s="19" t="s">
        <v>2286</v>
      </c>
    </row>
    <row r="190" spans="1:23" ht="47.25" x14ac:dyDescent="0.25">
      <c r="A190" s="19">
        <v>182</v>
      </c>
      <c r="B190" s="22">
        <v>43777</v>
      </c>
      <c r="C190" s="233" t="s">
        <v>2144</v>
      </c>
      <c r="D190" s="233" t="s">
        <v>562</v>
      </c>
      <c r="E190" s="233"/>
      <c r="F190" s="101" t="s">
        <v>2145</v>
      </c>
      <c r="G190" s="157" t="s">
        <v>2146</v>
      </c>
      <c r="H190" s="101" t="s">
        <v>2147</v>
      </c>
      <c r="I190" s="19"/>
      <c r="J190" s="10" t="s">
        <v>2148</v>
      </c>
      <c r="K190" s="10" t="s">
        <v>94</v>
      </c>
      <c r="L190" s="19" t="s">
        <v>572</v>
      </c>
      <c r="M190" s="214">
        <v>2643000</v>
      </c>
      <c r="N190" s="364">
        <v>2907300</v>
      </c>
      <c r="O190" s="19"/>
      <c r="P190" s="22">
        <v>44873</v>
      </c>
      <c r="Q190" s="19"/>
      <c r="R190" s="165">
        <v>0.4</v>
      </c>
      <c r="S190" s="214">
        <f>(M190-3000*36)*0.4</f>
        <v>1014000</v>
      </c>
      <c r="T190" s="26" t="s">
        <v>1079</v>
      </c>
      <c r="U190" s="220">
        <f t="shared" si="22"/>
        <v>1723800.0000000002</v>
      </c>
      <c r="V190" s="220">
        <f t="shared" si="20"/>
        <v>709800.00000000023</v>
      </c>
      <c r="W190" s="19"/>
    </row>
    <row r="191" spans="1:23" ht="47.25" x14ac:dyDescent="0.25">
      <c r="A191" s="19">
        <v>183</v>
      </c>
      <c r="B191" s="22">
        <v>43778</v>
      </c>
      <c r="C191" s="233" t="s">
        <v>2149</v>
      </c>
      <c r="D191" s="233" t="s">
        <v>2151</v>
      </c>
      <c r="E191" s="233"/>
      <c r="F191" s="101" t="s">
        <v>2152</v>
      </c>
      <c r="G191" s="157" t="s">
        <v>2150</v>
      </c>
      <c r="H191" s="101"/>
      <c r="I191" s="152" t="s">
        <v>2154</v>
      </c>
      <c r="J191" s="10" t="s">
        <v>2153</v>
      </c>
      <c r="K191" s="10" t="s">
        <v>83</v>
      </c>
      <c r="L191" s="19" t="s">
        <v>572</v>
      </c>
      <c r="M191" s="214">
        <v>2828000</v>
      </c>
      <c r="N191" s="214">
        <v>3110800</v>
      </c>
      <c r="O191" s="19"/>
      <c r="P191" s="22">
        <v>44874</v>
      </c>
      <c r="Q191" s="19"/>
      <c r="R191" s="165"/>
      <c r="S191" s="214">
        <v>1110800</v>
      </c>
      <c r="T191" s="26"/>
      <c r="U191" s="220">
        <f t="shared" si="22"/>
        <v>1849600.0000000002</v>
      </c>
      <c r="V191" s="220">
        <f t="shared" si="20"/>
        <v>738800.00000000023</v>
      </c>
      <c r="W191" s="19" t="s">
        <v>2473</v>
      </c>
    </row>
    <row r="192" spans="1:23" x14ac:dyDescent="0.25">
      <c r="A192" s="19">
        <v>184</v>
      </c>
      <c r="B192" s="22">
        <v>43780</v>
      </c>
      <c r="C192" s="233" t="s">
        <v>2229</v>
      </c>
      <c r="D192" s="233" t="s">
        <v>473</v>
      </c>
      <c r="E192" s="233"/>
      <c r="F192" s="101" t="s">
        <v>2230</v>
      </c>
      <c r="G192" s="157"/>
      <c r="H192" s="101"/>
      <c r="I192" s="19"/>
      <c r="J192" s="10"/>
      <c r="K192" s="10" t="s">
        <v>83</v>
      </c>
      <c r="L192" s="19" t="s">
        <v>572</v>
      </c>
      <c r="M192" s="214">
        <v>2828000</v>
      </c>
      <c r="N192" s="214">
        <v>3110800</v>
      </c>
      <c r="O192" s="19"/>
      <c r="P192" s="22">
        <v>44876</v>
      </c>
      <c r="Q192" s="19"/>
      <c r="R192" s="165">
        <v>0.4</v>
      </c>
      <c r="S192" s="214">
        <f>(M192-3000*36)*0.4</f>
        <v>1088000</v>
      </c>
      <c r="T192" s="26"/>
      <c r="U192" s="220">
        <f t="shared" si="22"/>
        <v>1849600.0000000002</v>
      </c>
      <c r="V192" s="220">
        <f t="shared" si="20"/>
        <v>761600.00000000023</v>
      </c>
      <c r="W192" s="19" t="s">
        <v>663</v>
      </c>
    </row>
    <row r="193" spans="1:23" s="36" customFormat="1" x14ac:dyDescent="0.25">
      <c r="A193" s="18">
        <v>185</v>
      </c>
      <c r="B193" s="70" t="s">
        <v>2202</v>
      </c>
      <c r="C193" s="195" t="s">
        <v>2231</v>
      </c>
      <c r="D193" s="195" t="s">
        <v>1260</v>
      </c>
      <c r="E193" s="195"/>
      <c r="F193" s="487" t="s">
        <v>2232</v>
      </c>
      <c r="G193" s="137"/>
      <c r="H193" s="379" t="s">
        <v>1192</v>
      </c>
      <c r="I193" s="18"/>
      <c r="J193" s="78"/>
      <c r="K193" s="78" t="s">
        <v>94</v>
      </c>
      <c r="L193" s="18" t="s">
        <v>572</v>
      </c>
      <c r="M193" s="277">
        <v>2643000</v>
      </c>
      <c r="N193" s="489">
        <v>2907300</v>
      </c>
      <c r="O193" s="266"/>
      <c r="P193" s="18" t="s">
        <v>2233</v>
      </c>
      <c r="Q193" s="266"/>
      <c r="R193" s="87">
        <v>0.4</v>
      </c>
      <c r="S193" s="277">
        <f>N193*0.4</f>
        <v>1162920</v>
      </c>
      <c r="T193" s="20"/>
      <c r="U193" s="237">
        <f t="shared" si="22"/>
        <v>1723800.0000000002</v>
      </c>
      <c r="V193" s="237">
        <f t="shared" si="20"/>
        <v>560880.00000000023</v>
      </c>
      <c r="W193" s="18" t="s">
        <v>2417</v>
      </c>
    </row>
    <row r="194" spans="1:23" ht="31.5" x14ac:dyDescent="0.25">
      <c r="A194" s="19">
        <v>186</v>
      </c>
      <c r="B194" s="22" t="s">
        <v>2202</v>
      </c>
      <c r="C194" s="233" t="s">
        <v>2197</v>
      </c>
      <c r="D194" s="233" t="s">
        <v>1686</v>
      </c>
      <c r="E194" s="233"/>
      <c r="F194" s="153" t="s">
        <v>2196</v>
      </c>
      <c r="G194" s="157"/>
      <c r="H194" s="101"/>
      <c r="I194" s="19"/>
      <c r="J194" s="10"/>
      <c r="K194" s="10" t="s">
        <v>83</v>
      </c>
      <c r="L194" s="19" t="s">
        <v>572</v>
      </c>
      <c r="M194" s="214">
        <v>2828000</v>
      </c>
      <c r="N194" s="214">
        <v>3110800</v>
      </c>
      <c r="O194" s="19"/>
      <c r="P194" s="19" t="s">
        <v>2233</v>
      </c>
      <c r="Q194" s="19"/>
      <c r="R194" s="165">
        <v>0.47</v>
      </c>
      <c r="S194" s="214">
        <f>(M194-3000*36)*0.47</f>
        <v>1278400</v>
      </c>
      <c r="T194" s="26"/>
      <c r="U194" s="220">
        <f t="shared" si="22"/>
        <v>1849600.0000000002</v>
      </c>
      <c r="V194" s="220">
        <f t="shared" si="20"/>
        <v>571200.00000000023</v>
      </c>
      <c r="W194" s="19" t="s">
        <v>1746</v>
      </c>
    </row>
    <row r="195" spans="1:23" ht="47.25" x14ac:dyDescent="0.25">
      <c r="A195" s="19">
        <v>187</v>
      </c>
      <c r="B195" s="19" t="s">
        <v>2212</v>
      </c>
      <c r="C195" s="233" t="s">
        <v>2234</v>
      </c>
      <c r="D195" s="233" t="s">
        <v>168</v>
      </c>
      <c r="E195" s="233"/>
      <c r="F195" s="101" t="s">
        <v>2240</v>
      </c>
      <c r="G195" s="157" t="s">
        <v>2239</v>
      </c>
      <c r="H195" s="101"/>
      <c r="I195" s="19"/>
      <c r="J195" s="10"/>
      <c r="K195" s="10" t="s">
        <v>83</v>
      </c>
      <c r="L195" s="19" t="s">
        <v>572</v>
      </c>
      <c r="M195" s="214">
        <v>2828000</v>
      </c>
      <c r="N195" s="214">
        <v>3110800</v>
      </c>
      <c r="O195" s="19"/>
      <c r="P195" s="19" t="s">
        <v>2233</v>
      </c>
      <c r="Q195" s="19"/>
      <c r="R195" s="19"/>
      <c r="S195" s="214">
        <v>1110800</v>
      </c>
      <c r="T195" s="26"/>
      <c r="U195" s="220">
        <f t="shared" si="22"/>
        <v>1849600.0000000002</v>
      </c>
      <c r="V195" s="220">
        <f t="shared" si="20"/>
        <v>738800.00000000023</v>
      </c>
      <c r="W195" s="19"/>
    </row>
    <row r="196" spans="1:23" ht="63" x14ac:dyDescent="0.25">
      <c r="A196" s="19">
        <v>188</v>
      </c>
      <c r="B196" s="19" t="s">
        <v>2235</v>
      </c>
      <c r="C196" s="233" t="s">
        <v>2236</v>
      </c>
      <c r="D196" s="233" t="s">
        <v>954</v>
      </c>
      <c r="E196" s="233"/>
      <c r="F196" s="101" t="s">
        <v>2237</v>
      </c>
      <c r="G196" s="157" t="s">
        <v>2238</v>
      </c>
      <c r="H196" s="101" t="s">
        <v>407</v>
      </c>
      <c r="I196" s="19"/>
      <c r="J196" s="10"/>
      <c r="K196" s="10" t="s">
        <v>83</v>
      </c>
      <c r="L196" s="19" t="s">
        <v>777</v>
      </c>
      <c r="M196" s="214">
        <v>1161000</v>
      </c>
      <c r="N196" s="214">
        <v>1827100</v>
      </c>
      <c r="O196" s="19"/>
      <c r="P196" s="19" t="s">
        <v>2241</v>
      </c>
      <c r="Q196" s="19"/>
      <c r="R196" s="165">
        <v>0.4</v>
      </c>
      <c r="S196" s="214">
        <f>(M196-3000*12)*0.4</f>
        <v>450000</v>
      </c>
      <c r="T196" s="26"/>
      <c r="U196" s="220">
        <f t="shared" si="22"/>
        <v>716040</v>
      </c>
      <c r="V196" s="220">
        <f t="shared" si="20"/>
        <v>266040</v>
      </c>
      <c r="W196" s="19"/>
    </row>
    <row r="197" spans="1:23" ht="63" x14ac:dyDescent="0.25">
      <c r="A197" s="19">
        <v>189</v>
      </c>
      <c r="B197" s="19" t="s">
        <v>2256</v>
      </c>
      <c r="C197" s="233" t="s">
        <v>2257</v>
      </c>
      <c r="D197" s="233" t="s">
        <v>1279</v>
      </c>
      <c r="E197" s="233"/>
      <c r="F197" s="153" t="s">
        <v>2258</v>
      </c>
      <c r="G197" s="157" t="s">
        <v>2259</v>
      </c>
      <c r="H197" s="101" t="s">
        <v>2260</v>
      </c>
      <c r="I197" s="19"/>
      <c r="J197" s="10"/>
      <c r="K197" s="10" t="s">
        <v>94</v>
      </c>
      <c r="L197" s="19" t="s">
        <v>756</v>
      </c>
      <c r="M197" s="214">
        <v>1992000</v>
      </c>
      <c r="N197" s="214">
        <v>2191200</v>
      </c>
      <c r="O197" s="19"/>
      <c r="P197" s="19" t="s">
        <v>2261</v>
      </c>
      <c r="Q197" s="19"/>
      <c r="R197" s="165">
        <v>0.45</v>
      </c>
      <c r="S197" s="214">
        <f>(M197-3000*24)*45%</f>
        <v>864000</v>
      </c>
      <c r="T197" s="26"/>
      <c r="U197" s="220">
        <f t="shared" si="22"/>
        <v>1281120</v>
      </c>
      <c r="V197" s="220">
        <f t="shared" si="20"/>
        <v>417120</v>
      </c>
      <c r="W197" s="19" t="s">
        <v>2305</v>
      </c>
    </row>
    <row r="198" spans="1:23" ht="31.5" x14ac:dyDescent="0.25">
      <c r="A198" s="19">
        <v>190</v>
      </c>
      <c r="B198" s="19" t="s">
        <v>2256</v>
      </c>
      <c r="C198" s="233" t="s">
        <v>2262</v>
      </c>
      <c r="D198" s="233" t="s">
        <v>474</v>
      </c>
      <c r="E198" s="233"/>
      <c r="F198" s="101" t="s">
        <v>2263</v>
      </c>
      <c r="G198" s="157" t="s">
        <v>2264</v>
      </c>
      <c r="H198" s="101" t="s">
        <v>363</v>
      </c>
      <c r="I198" s="381" t="s">
        <v>217</v>
      </c>
      <c r="J198" s="10"/>
      <c r="K198" s="10" t="s">
        <v>83</v>
      </c>
      <c r="L198" s="19" t="s">
        <v>777</v>
      </c>
      <c r="M198" s="214">
        <v>1161000</v>
      </c>
      <c r="N198" s="214">
        <v>1827100</v>
      </c>
      <c r="O198" s="266"/>
      <c r="P198" s="19" t="s">
        <v>2265</v>
      </c>
      <c r="Q198" s="266"/>
      <c r="R198" s="165">
        <v>0.4</v>
      </c>
      <c r="S198" s="214">
        <f>(M198-3000*12)*0.4</f>
        <v>450000</v>
      </c>
      <c r="T198" s="26"/>
      <c r="U198" s="220">
        <f t="shared" si="22"/>
        <v>716040</v>
      </c>
      <c r="V198" s="220">
        <f t="shared" si="20"/>
        <v>266040</v>
      </c>
      <c r="W198" s="220" t="s">
        <v>1923</v>
      </c>
    </row>
    <row r="199" spans="1:23" ht="47.25" x14ac:dyDescent="0.25">
      <c r="A199" s="19">
        <v>191</v>
      </c>
      <c r="B199" s="19" t="s">
        <v>2290</v>
      </c>
      <c r="C199" s="233" t="s">
        <v>2291</v>
      </c>
      <c r="D199" s="233" t="s">
        <v>479</v>
      </c>
      <c r="E199" s="233"/>
      <c r="F199" s="153" t="s">
        <v>2292</v>
      </c>
      <c r="G199" s="157" t="s">
        <v>2293</v>
      </c>
      <c r="H199" s="101"/>
      <c r="I199" s="19"/>
      <c r="J199" s="10"/>
      <c r="K199" s="10" t="s">
        <v>83</v>
      </c>
      <c r="L199" s="19" t="s">
        <v>572</v>
      </c>
      <c r="M199" s="214">
        <v>2828000</v>
      </c>
      <c r="N199" s="214">
        <v>3110800</v>
      </c>
      <c r="O199" s="19"/>
      <c r="P199" s="19" t="s">
        <v>2290</v>
      </c>
      <c r="Q199" s="19"/>
      <c r="R199" s="165">
        <v>0.4</v>
      </c>
      <c r="S199" s="214">
        <f>(M199-3000*36)*40%</f>
        <v>1088000</v>
      </c>
      <c r="T199" s="26"/>
      <c r="U199" s="220">
        <f t="shared" si="22"/>
        <v>1849600.0000000002</v>
      </c>
      <c r="V199" s="220">
        <f t="shared" si="20"/>
        <v>761600.00000000023</v>
      </c>
      <c r="W199" s="19"/>
    </row>
    <row r="200" spans="1:23" s="36" customFormat="1" ht="31.5" x14ac:dyDescent="0.25">
      <c r="A200" s="18">
        <v>192</v>
      </c>
      <c r="B200" s="18" t="s">
        <v>2307</v>
      </c>
      <c r="C200" s="195" t="s">
        <v>1203</v>
      </c>
      <c r="D200" s="195" t="s">
        <v>1260</v>
      </c>
      <c r="E200" s="195"/>
      <c r="F200" s="487" t="s">
        <v>1205</v>
      </c>
      <c r="G200" s="488" t="s">
        <v>2308</v>
      </c>
      <c r="H200" s="379" t="s">
        <v>1192</v>
      </c>
      <c r="I200" s="152" t="s">
        <v>633</v>
      </c>
      <c r="J200" s="78"/>
      <c r="K200" s="78" t="s">
        <v>83</v>
      </c>
      <c r="L200" s="18" t="s">
        <v>572</v>
      </c>
      <c r="M200" s="277">
        <v>2828000</v>
      </c>
      <c r="N200" s="277">
        <v>3110800</v>
      </c>
      <c r="O200" s="266"/>
      <c r="P200" s="18" t="s">
        <v>2309</v>
      </c>
      <c r="Q200" s="266"/>
      <c r="R200" s="18"/>
      <c r="S200" s="277">
        <v>1366420</v>
      </c>
      <c r="T200" s="20"/>
      <c r="U200" s="237">
        <f t="shared" si="22"/>
        <v>1849600.0000000002</v>
      </c>
      <c r="V200" s="237">
        <f t="shared" si="20"/>
        <v>483180.00000000023</v>
      </c>
      <c r="W200" s="18" t="s">
        <v>2417</v>
      </c>
    </row>
    <row r="201" spans="1:23" ht="47.25" x14ac:dyDescent="0.25">
      <c r="A201" s="19">
        <v>193</v>
      </c>
      <c r="B201" s="19" t="s">
        <v>2306</v>
      </c>
      <c r="C201" s="233" t="s">
        <v>2310</v>
      </c>
      <c r="D201" s="233" t="s">
        <v>473</v>
      </c>
      <c r="E201" s="233"/>
      <c r="F201" s="101" t="s">
        <v>2312</v>
      </c>
      <c r="G201" s="157" t="s">
        <v>2311</v>
      </c>
      <c r="H201" s="101"/>
      <c r="I201" s="19"/>
      <c r="J201" s="10"/>
      <c r="K201" s="10" t="s">
        <v>83</v>
      </c>
      <c r="L201" s="19" t="s">
        <v>572</v>
      </c>
      <c r="M201" s="214">
        <v>2828000</v>
      </c>
      <c r="N201" s="214">
        <v>3110800</v>
      </c>
      <c r="O201" s="19"/>
      <c r="P201" s="19" t="s">
        <v>2313</v>
      </c>
      <c r="Q201" s="19"/>
      <c r="R201" s="165">
        <v>0.4</v>
      </c>
      <c r="S201" s="214">
        <f>(M201-3000*36)*R201</f>
        <v>1088000</v>
      </c>
      <c r="T201" s="26"/>
      <c r="U201" s="220">
        <f>(M201-3000*36)*0.68</f>
        <v>1849600.0000000002</v>
      </c>
      <c r="V201" s="220">
        <f>U201-S201</f>
        <v>761600.00000000023</v>
      </c>
      <c r="W201" s="19" t="s">
        <v>663</v>
      </c>
    </row>
    <row r="202" spans="1:23" ht="47.25" x14ac:dyDescent="0.25">
      <c r="A202" s="19">
        <v>194</v>
      </c>
      <c r="B202" s="19" t="s">
        <v>2306</v>
      </c>
      <c r="C202" s="233" t="s">
        <v>2314</v>
      </c>
      <c r="D202" s="233" t="s">
        <v>1686</v>
      </c>
      <c r="E202" s="233"/>
      <c r="F202" s="153" t="s">
        <v>2316</v>
      </c>
      <c r="G202" s="157" t="s">
        <v>2315</v>
      </c>
      <c r="H202" s="101"/>
      <c r="I202" s="19"/>
      <c r="J202" s="10"/>
      <c r="K202" s="10" t="s">
        <v>94</v>
      </c>
      <c r="L202" s="19" t="s">
        <v>572</v>
      </c>
      <c r="M202" s="214">
        <v>2643000</v>
      </c>
      <c r="N202" s="364">
        <v>2907300</v>
      </c>
      <c r="O202" s="266"/>
      <c r="P202" s="19" t="s">
        <v>2313</v>
      </c>
      <c r="Q202" s="266"/>
      <c r="R202" s="165">
        <v>0.47</v>
      </c>
      <c r="S202" s="214">
        <f>(M202-3000*36)*R202</f>
        <v>1191450</v>
      </c>
      <c r="T202" s="26"/>
      <c r="U202" s="220">
        <f>(M202-3000*36)*0.68</f>
        <v>1723800.0000000002</v>
      </c>
      <c r="V202" s="220">
        <f>U202-S202</f>
        <v>532350.00000000023</v>
      </c>
      <c r="W202" s="19" t="s">
        <v>1746</v>
      </c>
    </row>
    <row r="203" spans="1:23" ht="47.25" x14ac:dyDescent="0.25">
      <c r="A203" s="19">
        <v>195</v>
      </c>
      <c r="B203" s="19" t="s">
        <v>2322</v>
      </c>
      <c r="C203" s="233" t="s">
        <v>2323</v>
      </c>
      <c r="D203" s="233" t="s">
        <v>2324</v>
      </c>
      <c r="E203" s="233"/>
      <c r="F203" s="101" t="s">
        <v>2326</v>
      </c>
      <c r="G203" s="157" t="s">
        <v>2325</v>
      </c>
      <c r="H203" s="101" t="s">
        <v>2327</v>
      </c>
      <c r="I203" s="381" t="s">
        <v>2328</v>
      </c>
      <c r="J203" s="10"/>
      <c r="K203" s="10" t="s">
        <v>83</v>
      </c>
      <c r="L203" s="19" t="s">
        <v>572</v>
      </c>
      <c r="M203" s="214">
        <v>2828000</v>
      </c>
      <c r="N203" s="214">
        <v>3110800</v>
      </c>
      <c r="O203" s="19"/>
      <c r="P203" s="19" t="s">
        <v>2322</v>
      </c>
      <c r="Q203" s="19"/>
      <c r="R203" s="165">
        <v>0.3</v>
      </c>
      <c r="S203" s="214">
        <f>(M203-3000*36)*0.3</f>
        <v>816000</v>
      </c>
      <c r="T203" s="26"/>
      <c r="U203" s="220">
        <f>(M203-3000*36)*0.68</f>
        <v>1849600.0000000002</v>
      </c>
      <c r="V203" s="220">
        <f>U203-S203</f>
        <v>1033600.0000000002</v>
      </c>
      <c r="W203" s="19" t="s">
        <v>2363</v>
      </c>
    </row>
    <row r="204" spans="1:23" s="217" customFormat="1" ht="31.5" x14ac:dyDescent="0.25">
      <c r="A204" s="220">
        <v>196</v>
      </c>
      <c r="B204" s="239">
        <v>43658</v>
      </c>
      <c r="C204" s="240" t="s">
        <v>2462</v>
      </c>
      <c r="D204" s="240"/>
      <c r="E204" s="240"/>
      <c r="F204" s="241" t="s">
        <v>2463</v>
      </c>
      <c r="G204" s="242" t="s">
        <v>3174</v>
      </c>
      <c r="H204" s="244" t="s">
        <v>2464</v>
      </c>
      <c r="I204" s="220"/>
      <c r="J204" s="220"/>
      <c r="K204" s="220" t="s">
        <v>94</v>
      </c>
      <c r="L204" s="220" t="s">
        <v>572</v>
      </c>
      <c r="M204" s="214">
        <v>2643000</v>
      </c>
      <c r="N204" s="364">
        <v>2907300</v>
      </c>
      <c r="O204" s="220"/>
      <c r="P204" s="239">
        <v>44754</v>
      </c>
      <c r="Q204" s="220"/>
      <c r="R204" s="220"/>
      <c r="S204" s="214"/>
      <c r="T204" s="376" t="s">
        <v>2465</v>
      </c>
      <c r="U204" s="220">
        <f>(M204-3000*36)*0.6</f>
        <v>1521000</v>
      </c>
      <c r="V204" s="220">
        <f t="shared" ref="V204:V251" si="23">U204-S204</f>
        <v>1521000</v>
      </c>
      <c r="W204" s="220" t="s">
        <v>1746</v>
      </c>
    </row>
    <row r="205" spans="1:23" ht="31.5" x14ac:dyDescent="0.25">
      <c r="A205" s="19">
        <v>197</v>
      </c>
      <c r="B205" s="22">
        <v>43658</v>
      </c>
      <c r="C205" s="233" t="s">
        <v>2466</v>
      </c>
      <c r="D205" s="233" t="s">
        <v>1686</v>
      </c>
      <c r="E205" s="233"/>
      <c r="F205" s="153" t="s">
        <v>2467</v>
      </c>
      <c r="G205" s="157" t="s">
        <v>3174</v>
      </c>
      <c r="H205" s="101"/>
      <c r="I205" s="19"/>
      <c r="J205" s="10"/>
      <c r="K205" s="10" t="s">
        <v>94</v>
      </c>
      <c r="L205" s="19" t="s">
        <v>572</v>
      </c>
      <c r="M205" s="214">
        <v>2643000</v>
      </c>
      <c r="N205" s="364">
        <v>2907300</v>
      </c>
      <c r="O205" s="266"/>
      <c r="P205" s="22">
        <v>44754</v>
      </c>
      <c r="Q205" s="266"/>
      <c r="R205" s="165">
        <v>0.47</v>
      </c>
      <c r="S205" s="214">
        <f>(M205-3000*12)*0.47</f>
        <v>1225290</v>
      </c>
      <c r="T205" s="26"/>
      <c r="U205" s="220">
        <f t="shared" ref="U205:U251" si="24">(M205-3000*36)*0.6</f>
        <v>1521000</v>
      </c>
      <c r="V205" s="220">
        <f t="shared" si="23"/>
        <v>295710</v>
      </c>
      <c r="W205" s="19"/>
    </row>
    <row r="206" spans="1:23" ht="47.25" x14ac:dyDescent="0.25">
      <c r="A206" s="19">
        <v>198</v>
      </c>
      <c r="B206" s="22">
        <v>43658</v>
      </c>
      <c r="C206" s="233" t="s">
        <v>2515</v>
      </c>
      <c r="D206" s="233" t="s">
        <v>562</v>
      </c>
      <c r="E206" s="233"/>
      <c r="F206" s="153" t="s">
        <v>2516</v>
      </c>
      <c r="G206" s="157" t="s">
        <v>2517</v>
      </c>
      <c r="H206" s="101" t="s">
        <v>2518</v>
      </c>
      <c r="I206" s="19"/>
      <c r="J206" s="10"/>
      <c r="K206" s="10" t="s">
        <v>94</v>
      </c>
      <c r="L206" s="19" t="s">
        <v>572</v>
      </c>
      <c r="M206" s="214">
        <v>2643000</v>
      </c>
      <c r="N206" s="364">
        <v>2907300</v>
      </c>
      <c r="O206" s="19"/>
      <c r="P206" s="22">
        <v>44754</v>
      </c>
      <c r="Q206" s="19"/>
      <c r="R206" s="165">
        <v>0.4</v>
      </c>
      <c r="S206" s="214">
        <f>(M206-3000*12)*0.4</f>
        <v>1042800</v>
      </c>
      <c r="T206" s="26" t="s">
        <v>1079</v>
      </c>
      <c r="U206" s="220">
        <f t="shared" si="24"/>
        <v>1521000</v>
      </c>
      <c r="V206" s="220">
        <f t="shared" si="23"/>
        <v>478200</v>
      </c>
      <c r="W206" s="19" t="s">
        <v>1746</v>
      </c>
    </row>
    <row r="207" spans="1:23" ht="31.5" x14ac:dyDescent="0.25">
      <c r="A207" s="19">
        <v>199</v>
      </c>
      <c r="B207" s="22">
        <v>43658</v>
      </c>
      <c r="C207" s="233" t="s">
        <v>2468</v>
      </c>
      <c r="D207" s="233"/>
      <c r="E207" s="233"/>
      <c r="F207" s="153" t="s">
        <v>2469</v>
      </c>
      <c r="G207" s="157"/>
      <c r="H207" s="101"/>
      <c r="I207" s="19"/>
      <c r="J207" s="10"/>
      <c r="K207" s="10" t="s">
        <v>83</v>
      </c>
      <c r="L207" s="19" t="s">
        <v>572</v>
      </c>
      <c r="M207" s="214">
        <v>2828000</v>
      </c>
      <c r="N207" s="214">
        <v>3110800</v>
      </c>
      <c r="O207" s="19"/>
      <c r="P207" s="22">
        <v>44754</v>
      </c>
      <c r="Q207" s="19"/>
      <c r="R207" s="19"/>
      <c r="S207" s="214">
        <v>1110800</v>
      </c>
      <c r="T207" s="26"/>
      <c r="U207" s="220">
        <f t="shared" si="24"/>
        <v>1632000</v>
      </c>
      <c r="V207" s="220">
        <f t="shared" si="23"/>
        <v>521200</v>
      </c>
      <c r="W207" s="19" t="s">
        <v>1746</v>
      </c>
    </row>
    <row r="208" spans="1:23" ht="47.25" x14ac:dyDescent="0.25">
      <c r="A208" s="19">
        <v>200</v>
      </c>
      <c r="B208" s="22">
        <v>43658</v>
      </c>
      <c r="C208" s="233" t="s">
        <v>2470</v>
      </c>
      <c r="D208" s="233"/>
      <c r="E208" s="233"/>
      <c r="F208" s="153" t="s">
        <v>2499</v>
      </c>
      <c r="G208" s="157" t="s">
        <v>2500</v>
      </c>
      <c r="H208" s="101" t="s">
        <v>2501</v>
      </c>
      <c r="I208" s="19"/>
      <c r="J208" s="10"/>
      <c r="K208" s="10" t="s">
        <v>83</v>
      </c>
      <c r="L208" s="19" t="s">
        <v>572</v>
      </c>
      <c r="M208" s="214">
        <v>2828000</v>
      </c>
      <c r="N208" s="214">
        <v>3110800</v>
      </c>
      <c r="O208" s="19"/>
      <c r="P208" s="22">
        <v>44754</v>
      </c>
      <c r="Q208" s="19"/>
      <c r="R208" s="19"/>
      <c r="S208" s="214">
        <v>1110800</v>
      </c>
      <c r="T208" s="26"/>
      <c r="U208" s="220">
        <f t="shared" si="24"/>
        <v>1632000</v>
      </c>
      <c r="V208" s="220">
        <f t="shared" si="23"/>
        <v>521200</v>
      </c>
      <c r="W208" s="19" t="s">
        <v>1746</v>
      </c>
    </row>
    <row r="209" spans="1:23" ht="47.25" x14ac:dyDescent="0.25">
      <c r="A209" s="19">
        <v>201</v>
      </c>
      <c r="B209" s="22">
        <v>43720</v>
      </c>
      <c r="C209" s="233" t="s">
        <v>2502</v>
      </c>
      <c r="D209" s="233" t="s">
        <v>562</v>
      </c>
      <c r="E209" s="233"/>
      <c r="F209" s="153" t="s">
        <v>2504</v>
      </c>
      <c r="G209" s="157" t="s">
        <v>2503</v>
      </c>
      <c r="H209" s="101" t="s">
        <v>2505</v>
      </c>
      <c r="I209" s="19"/>
      <c r="J209" s="10"/>
      <c r="K209" s="10" t="s">
        <v>83</v>
      </c>
      <c r="L209" s="19" t="s">
        <v>572</v>
      </c>
      <c r="M209" s="214">
        <v>2828000</v>
      </c>
      <c r="N209" s="214">
        <v>3110800</v>
      </c>
      <c r="O209" s="19"/>
      <c r="P209" s="22">
        <v>44816</v>
      </c>
      <c r="Q209" s="19"/>
      <c r="R209" s="165">
        <v>0.4</v>
      </c>
      <c r="S209" s="214">
        <f>(M209-3000*36)*40%</f>
        <v>1088000</v>
      </c>
      <c r="T209" s="26" t="s">
        <v>1079</v>
      </c>
      <c r="U209" s="220">
        <f t="shared" si="24"/>
        <v>1632000</v>
      </c>
      <c r="V209" s="220">
        <f t="shared" si="23"/>
        <v>544000</v>
      </c>
      <c r="W209" s="19" t="s">
        <v>3081</v>
      </c>
    </row>
    <row r="210" spans="1:23" s="36" customFormat="1" ht="63" x14ac:dyDescent="0.25">
      <c r="A210" s="18">
        <v>202</v>
      </c>
      <c r="B210" s="70">
        <v>43750</v>
      </c>
      <c r="C210" s="195" t="s">
        <v>2506</v>
      </c>
      <c r="D210" s="195" t="s">
        <v>562</v>
      </c>
      <c r="E210" s="195"/>
      <c r="F210" s="487" t="s">
        <v>2507</v>
      </c>
      <c r="G210" s="137" t="s">
        <v>2508</v>
      </c>
      <c r="H210" s="379" t="s">
        <v>2509</v>
      </c>
      <c r="I210" s="18"/>
      <c r="J210" s="78"/>
      <c r="K210" s="78" t="s">
        <v>94</v>
      </c>
      <c r="L210" s="18" t="s">
        <v>572</v>
      </c>
      <c r="M210" s="277">
        <v>2643000</v>
      </c>
      <c r="N210" s="489">
        <v>2907300</v>
      </c>
      <c r="O210" s="18"/>
      <c r="P210" s="70">
        <v>44846</v>
      </c>
      <c r="Q210" s="18"/>
      <c r="R210" s="87">
        <v>0.4</v>
      </c>
      <c r="S210" s="277">
        <f>(M210-3000*36)*40%</f>
        <v>1014000</v>
      </c>
      <c r="T210" s="20" t="s">
        <v>1079</v>
      </c>
      <c r="U210" s="237">
        <f t="shared" si="24"/>
        <v>1521000</v>
      </c>
      <c r="V210" s="237">
        <f t="shared" si="23"/>
        <v>507000</v>
      </c>
      <c r="W210" s="18" t="s">
        <v>1746</v>
      </c>
    </row>
    <row r="211" spans="1:23" ht="47.25" x14ac:dyDescent="0.25">
      <c r="A211" s="19">
        <v>203</v>
      </c>
      <c r="B211" s="22">
        <v>43750</v>
      </c>
      <c r="C211" s="233" t="s">
        <v>2510</v>
      </c>
      <c r="D211" s="233" t="s">
        <v>1279</v>
      </c>
      <c r="E211" s="233"/>
      <c r="F211" s="101" t="s">
        <v>2511</v>
      </c>
      <c r="G211" s="157" t="s">
        <v>2512</v>
      </c>
      <c r="H211" s="101" t="s">
        <v>2513</v>
      </c>
      <c r="I211" s="19"/>
      <c r="J211" s="10"/>
      <c r="K211" s="10" t="s">
        <v>94</v>
      </c>
      <c r="L211" s="19" t="s">
        <v>572</v>
      </c>
      <c r="M211" s="214">
        <v>2643000</v>
      </c>
      <c r="N211" s="364">
        <v>2907300</v>
      </c>
      <c r="O211" s="19"/>
      <c r="P211" s="22">
        <v>44846</v>
      </c>
      <c r="Q211" s="19"/>
      <c r="R211" s="165">
        <v>0.45</v>
      </c>
      <c r="S211" s="214">
        <f>(M211-3000*36)*45%</f>
        <v>1140750</v>
      </c>
      <c r="T211" s="26" t="s">
        <v>2514</v>
      </c>
      <c r="U211" s="220">
        <f t="shared" si="24"/>
        <v>1521000</v>
      </c>
      <c r="V211" s="220">
        <f t="shared" si="23"/>
        <v>380250</v>
      </c>
      <c r="W211" s="19" t="s">
        <v>1746</v>
      </c>
    </row>
    <row r="212" spans="1:23" s="36" customFormat="1" ht="47.25" x14ac:dyDescent="0.25">
      <c r="A212" s="18">
        <v>204</v>
      </c>
      <c r="B212" s="70">
        <v>43811</v>
      </c>
      <c r="C212" s="195" t="s">
        <v>2599</v>
      </c>
      <c r="D212" s="195" t="s">
        <v>309</v>
      </c>
      <c r="E212" s="195"/>
      <c r="F212" s="487" t="s">
        <v>2600</v>
      </c>
      <c r="G212" s="137" t="s">
        <v>2601</v>
      </c>
      <c r="H212" s="379"/>
      <c r="I212" s="18"/>
      <c r="J212" s="78"/>
      <c r="K212" s="78" t="s">
        <v>83</v>
      </c>
      <c r="L212" s="18" t="s">
        <v>572</v>
      </c>
      <c r="M212" s="277">
        <v>2828000</v>
      </c>
      <c r="N212" s="277">
        <v>3110800</v>
      </c>
      <c r="O212" s="18"/>
      <c r="P212" s="70">
        <v>44907</v>
      </c>
      <c r="Q212" s="18"/>
      <c r="R212" s="18"/>
      <c r="S212" s="277"/>
      <c r="T212" s="20"/>
      <c r="U212" s="237">
        <f t="shared" si="24"/>
        <v>1632000</v>
      </c>
      <c r="V212" s="237">
        <f t="shared" si="23"/>
        <v>1632000</v>
      </c>
      <c r="W212" s="18" t="s">
        <v>3088</v>
      </c>
    </row>
    <row r="213" spans="1:23" ht="63" x14ac:dyDescent="0.25">
      <c r="A213" s="19">
        <v>205</v>
      </c>
      <c r="B213" s="22">
        <v>43811</v>
      </c>
      <c r="C213" s="233" t="s">
        <v>231</v>
      </c>
      <c r="D213" s="233"/>
      <c r="E213" s="233"/>
      <c r="F213" s="101" t="s">
        <v>2602</v>
      </c>
      <c r="G213" s="157" t="s">
        <v>233</v>
      </c>
      <c r="H213" s="101" t="s">
        <v>2603</v>
      </c>
      <c r="I213" s="19"/>
      <c r="J213" s="10"/>
      <c r="K213" s="10" t="s">
        <v>94</v>
      </c>
      <c r="L213" s="19" t="s">
        <v>572</v>
      </c>
      <c r="M213" s="214">
        <v>2643000</v>
      </c>
      <c r="N213" s="364">
        <v>2907300</v>
      </c>
      <c r="O213" s="19"/>
      <c r="P213" s="22">
        <v>44907</v>
      </c>
      <c r="Q213" s="19"/>
      <c r="R213" s="19"/>
      <c r="S213" s="214"/>
      <c r="T213" s="26"/>
      <c r="U213" s="220">
        <f t="shared" si="24"/>
        <v>1521000</v>
      </c>
      <c r="V213" s="220">
        <f t="shared" si="23"/>
        <v>1521000</v>
      </c>
      <c r="W213" s="19" t="s">
        <v>1746</v>
      </c>
    </row>
    <row r="214" spans="1:23" ht="31.5" x14ac:dyDescent="0.25">
      <c r="A214" s="19">
        <v>206</v>
      </c>
      <c r="B214" s="19" t="s">
        <v>2642</v>
      </c>
      <c r="C214" s="233" t="s">
        <v>2643</v>
      </c>
      <c r="D214" s="233" t="s">
        <v>1686</v>
      </c>
      <c r="E214" s="233"/>
      <c r="F214" s="153" t="s">
        <v>2644</v>
      </c>
      <c r="G214" s="157" t="s">
        <v>2645</v>
      </c>
      <c r="H214" s="101"/>
      <c r="I214" s="19"/>
      <c r="J214" s="10"/>
      <c r="K214" s="10" t="s">
        <v>94</v>
      </c>
      <c r="L214" s="19" t="s">
        <v>572</v>
      </c>
      <c r="M214" s="214">
        <v>2643000</v>
      </c>
      <c r="N214" s="364">
        <v>2907300</v>
      </c>
      <c r="O214" s="19"/>
      <c r="P214" s="19" t="s">
        <v>2646</v>
      </c>
      <c r="Q214" s="19"/>
      <c r="R214" s="165">
        <v>0.47</v>
      </c>
      <c r="S214" s="214">
        <f>(M214-3000*36)*47%</f>
        <v>1191450</v>
      </c>
      <c r="T214" s="26"/>
      <c r="U214" s="220">
        <f t="shared" si="24"/>
        <v>1521000</v>
      </c>
      <c r="V214" s="220">
        <f t="shared" si="23"/>
        <v>329550</v>
      </c>
      <c r="W214" s="19" t="s">
        <v>1746</v>
      </c>
    </row>
    <row r="215" spans="1:23" ht="47.25" x14ac:dyDescent="0.25">
      <c r="A215" s="19">
        <v>207</v>
      </c>
      <c r="B215" s="19" t="s">
        <v>2647</v>
      </c>
      <c r="C215" s="233" t="s">
        <v>2648</v>
      </c>
      <c r="D215" s="233" t="s">
        <v>474</v>
      </c>
      <c r="E215" s="233"/>
      <c r="F215" s="153" t="s">
        <v>2649</v>
      </c>
      <c r="G215" s="157" t="s">
        <v>2650</v>
      </c>
      <c r="H215" s="101" t="s">
        <v>2651</v>
      </c>
      <c r="I215" s="19"/>
      <c r="J215" s="10"/>
      <c r="K215" s="10" t="s">
        <v>83</v>
      </c>
      <c r="L215" s="19" t="s">
        <v>777</v>
      </c>
      <c r="M215" s="214">
        <v>1161000</v>
      </c>
      <c r="N215" s="214">
        <v>1827100</v>
      </c>
      <c r="O215" s="266"/>
      <c r="P215" s="19" t="s">
        <v>2652</v>
      </c>
      <c r="Q215" s="266"/>
      <c r="R215" s="165">
        <v>0.4</v>
      </c>
      <c r="S215" s="214">
        <f>(M215-3000*12)*40%</f>
        <v>450000</v>
      </c>
      <c r="T215" s="26"/>
      <c r="U215" s="220">
        <f t="shared" si="24"/>
        <v>631800</v>
      </c>
      <c r="V215" s="220">
        <f t="shared" si="23"/>
        <v>181800</v>
      </c>
      <c r="W215" s="220" t="s">
        <v>1923</v>
      </c>
    </row>
    <row r="216" spans="1:23" ht="47.25" x14ac:dyDescent="0.25">
      <c r="A216" s="19">
        <v>208</v>
      </c>
      <c r="B216" s="19" t="s">
        <v>2647</v>
      </c>
      <c r="C216" s="233" t="s">
        <v>2654</v>
      </c>
      <c r="D216" s="233" t="s">
        <v>474</v>
      </c>
      <c r="E216" s="233"/>
      <c r="F216" s="153" t="s">
        <v>2653</v>
      </c>
      <c r="G216" s="157" t="s">
        <v>1289</v>
      </c>
      <c r="H216" s="101" t="s">
        <v>2651</v>
      </c>
      <c r="I216" s="19"/>
      <c r="J216" s="10"/>
      <c r="K216" s="10" t="s">
        <v>83</v>
      </c>
      <c r="L216" s="19" t="s">
        <v>777</v>
      </c>
      <c r="M216" s="214">
        <v>1161000</v>
      </c>
      <c r="N216" s="214">
        <v>1827100</v>
      </c>
      <c r="O216" s="266"/>
      <c r="P216" s="19" t="s">
        <v>2652</v>
      </c>
      <c r="Q216" s="266"/>
      <c r="R216" s="165">
        <v>0.4</v>
      </c>
      <c r="S216" s="214">
        <f>(M216-3000*36)*40%</f>
        <v>421200</v>
      </c>
      <c r="T216" s="26"/>
      <c r="U216" s="220">
        <f t="shared" si="24"/>
        <v>631800</v>
      </c>
      <c r="V216" s="220">
        <f t="shared" si="23"/>
        <v>210600</v>
      </c>
      <c r="W216" s="220" t="s">
        <v>1923</v>
      </c>
    </row>
    <row r="217" spans="1:23" s="36" customFormat="1" ht="47.25" x14ac:dyDescent="0.25">
      <c r="A217" s="18">
        <v>209</v>
      </c>
      <c r="B217" s="18" t="s">
        <v>2695</v>
      </c>
      <c r="C217" s="195" t="s">
        <v>2750</v>
      </c>
      <c r="D217" s="195" t="s">
        <v>562</v>
      </c>
      <c r="E217" s="195"/>
      <c r="F217" s="379" t="s">
        <v>2751</v>
      </c>
      <c r="G217" s="137" t="s">
        <v>2752</v>
      </c>
      <c r="H217" s="379" t="s">
        <v>2753</v>
      </c>
      <c r="I217" s="18"/>
      <c r="J217" s="78"/>
      <c r="K217" s="78" t="s">
        <v>94</v>
      </c>
      <c r="L217" s="18" t="s">
        <v>572</v>
      </c>
      <c r="M217" s="277">
        <v>2643000</v>
      </c>
      <c r="N217" s="489">
        <v>2907300</v>
      </c>
      <c r="O217" s="18"/>
      <c r="P217" s="18" t="s">
        <v>2757</v>
      </c>
      <c r="Q217" s="18"/>
      <c r="R217" s="87">
        <v>0.4</v>
      </c>
      <c r="S217" s="277">
        <f>(M217-3000*36)*40%</f>
        <v>1014000</v>
      </c>
      <c r="T217" s="20"/>
      <c r="U217" s="237">
        <f t="shared" si="24"/>
        <v>1521000</v>
      </c>
      <c r="V217" s="237">
        <f t="shared" si="23"/>
        <v>507000</v>
      </c>
      <c r="W217" s="18" t="s">
        <v>663</v>
      </c>
    </row>
    <row r="218" spans="1:23" s="272" customFormat="1" ht="31.5" x14ac:dyDescent="0.25">
      <c r="A218" s="266">
        <v>210</v>
      </c>
      <c r="B218" s="266" t="s">
        <v>2708</v>
      </c>
      <c r="C218" s="334" t="s">
        <v>2754</v>
      </c>
      <c r="D218" s="334" t="s">
        <v>1686</v>
      </c>
      <c r="E218" s="334"/>
      <c r="F218" s="335" t="s">
        <v>2755</v>
      </c>
      <c r="G218" s="268" t="s">
        <v>2756</v>
      </c>
      <c r="H218" s="335"/>
      <c r="I218" s="266"/>
      <c r="J218" s="269"/>
      <c r="K218" s="269" t="s">
        <v>94</v>
      </c>
      <c r="L218" s="266" t="s">
        <v>572</v>
      </c>
      <c r="M218" s="273">
        <v>2643000</v>
      </c>
      <c r="N218" s="415">
        <v>2907300</v>
      </c>
      <c r="O218" s="266"/>
      <c r="P218" s="266" t="s">
        <v>2758</v>
      </c>
      <c r="Q218" s="266"/>
      <c r="R218" s="271">
        <v>0.47</v>
      </c>
      <c r="S218" s="273">
        <f>(M218-3000*36)*47%</f>
        <v>1191450</v>
      </c>
      <c r="T218" s="589">
        <f>N218-S218</f>
        <v>1715850</v>
      </c>
      <c r="U218" s="274">
        <f t="shared" si="24"/>
        <v>1521000</v>
      </c>
      <c r="V218" s="274">
        <f t="shared" si="23"/>
        <v>329550</v>
      </c>
      <c r="W218" s="266"/>
    </row>
    <row r="219" spans="1:23" ht="47.25" x14ac:dyDescent="0.25">
      <c r="A219" s="19">
        <v>211</v>
      </c>
      <c r="B219" s="19" t="s">
        <v>2708</v>
      </c>
      <c r="C219" s="233" t="s">
        <v>2760</v>
      </c>
      <c r="D219" s="233" t="s">
        <v>562</v>
      </c>
      <c r="E219" s="233"/>
      <c r="F219" s="101" t="s">
        <v>2759</v>
      </c>
      <c r="G219" s="157" t="s">
        <v>2761</v>
      </c>
      <c r="H219" s="153" t="s">
        <v>2762</v>
      </c>
      <c r="I219" s="19"/>
      <c r="J219" s="10"/>
      <c r="K219" s="10" t="s">
        <v>94</v>
      </c>
      <c r="L219" s="19" t="s">
        <v>572</v>
      </c>
      <c r="M219" s="214">
        <v>2643000</v>
      </c>
      <c r="N219" s="364">
        <v>2907300</v>
      </c>
      <c r="O219" s="19"/>
      <c r="P219" s="19" t="s">
        <v>2758</v>
      </c>
      <c r="Q219" s="19"/>
      <c r="R219" s="165">
        <v>0.4</v>
      </c>
      <c r="S219" s="214">
        <f>(M219-3000*36)*40%</f>
        <v>1014000</v>
      </c>
      <c r="T219" s="26" t="s">
        <v>1079</v>
      </c>
      <c r="U219" s="220">
        <f t="shared" si="24"/>
        <v>1521000</v>
      </c>
      <c r="V219" s="220">
        <f t="shared" si="23"/>
        <v>507000</v>
      </c>
      <c r="W219" s="19" t="s">
        <v>2763</v>
      </c>
    </row>
    <row r="220" spans="1:23" ht="47.25" x14ac:dyDescent="0.25">
      <c r="A220" s="19">
        <v>212</v>
      </c>
      <c r="B220" s="19" t="s">
        <v>2765</v>
      </c>
      <c r="C220" s="233" t="s">
        <v>2764</v>
      </c>
      <c r="D220" s="233" t="s">
        <v>562</v>
      </c>
      <c r="E220" s="233"/>
      <c r="F220" s="101" t="s">
        <v>2766</v>
      </c>
      <c r="G220" s="157" t="s">
        <v>2767</v>
      </c>
      <c r="H220" s="101" t="s">
        <v>2768</v>
      </c>
      <c r="I220" s="19"/>
      <c r="J220" s="10"/>
      <c r="K220" s="10" t="s">
        <v>94</v>
      </c>
      <c r="L220" s="19" t="s">
        <v>572</v>
      </c>
      <c r="M220" s="214">
        <v>2643000</v>
      </c>
      <c r="N220" s="364">
        <v>2907300</v>
      </c>
      <c r="O220" s="19"/>
      <c r="P220" s="19" t="s">
        <v>2758</v>
      </c>
      <c r="Q220" s="19"/>
      <c r="R220" s="19"/>
      <c r="S220" s="214">
        <f>(M220-3000*36)*40%</f>
        <v>1014000</v>
      </c>
      <c r="T220" s="26"/>
      <c r="U220" s="220">
        <f t="shared" si="24"/>
        <v>1521000</v>
      </c>
      <c r="V220" s="220">
        <f t="shared" si="23"/>
        <v>507000</v>
      </c>
      <c r="W220" s="19" t="s">
        <v>1746</v>
      </c>
    </row>
    <row r="221" spans="1:23" s="36" customFormat="1" ht="47.25" x14ac:dyDescent="0.25">
      <c r="A221" s="18">
        <v>213</v>
      </c>
      <c r="B221" s="18" t="s">
        <v>2769</v>
      </c>
      <c r="C221" s="195" t="s">
        <v>2770</v>
      </c>
      <c r="D221" s="195"/>
      <c r="E221" s="195"/>
      <c r="F221" s="379" t="s">
        <v>2771</v>
      </c>
      <c r="G221" s="137" t="s">
        <v>2772</v>
      </c>
      <c r="H221" s="379" t="s">
        <v>2773</v>
      </c>
      <c r="I221" s="18"/>
      <c r="J221" s="78"/>
      <c r="K221" s="78" t="s">
        <v>94</v>
      </c>
      <c r="L221" s="18" t="s">
        <v>572</v>
      </c>
      <c r="M221" s="277">
        <v>2643000</v>
      </c>
      <c r="N221" s="489">
        <v>2907300</v>
      </c>
      <c r="O221" s="18"/>
      <c r="P221" s="18" t="s">
        <v>2774</v>
      </c>
      <c r="Q221" s="18"/>
      <c r="R221" s="18"/>
      <c r="S221" s="277">
        <v>907300</v>
      </c>
      <c r="T221" s="20"/>
      <c r="U221" s="237">
        <f t="shared" si="24"/>
        <v>1521000</v>
      </c>
      <c r="V221" s="237">
        <f t="shared" si="23"/>
        <v>613700</v>
      </c>
      <c r="W221" s="18" t="s">
        <v>1641</v>
      </c>
    </row>
    <row r="222" spans="1:23" ht="47.25" x14ac:dyDescent="0.25">
      <c r="A222" s="359">
        <v>214</v>
      </c>
      <c r="B222" s="359" t="s">
        <v>2832</v>
      </c>
      <c r="C222" s="360" t="s">
        <v>2829</v>
      </c>
      <c r="D222" s="360" t="s">
        <v>562</v>
      </c>
      <c r="E222" s="360"/>
      <c r="F222" s="543" t="s">
        <v>2828</v>
      </c>
      <c r="G222" s="362" t="s">
        <v>2830</v>
      </c>
      <c r="H222" s="543" t="s">
        <v>2831</v>
      </c>
      <c r="I222" s="359"/>
      <c r="J222" s="356"/>
      <c r="K222" s="356" t="s">
        <v>94</v>
      </c>
      <c r="L222" s="359" t="s">
        <v>572</v>
      </c>
      <c r="M222" s="364">
        <v>2643000</v>
      </c>
      <c r="N222" s="364">
        <v>2907300</v>
      </c>
      <c r="O222" s="359"/>
      <c r="P222" s="359" t="s">
        <v>2833</v>
      </c>
      <c r="Q222" s="359"/>
      <c r="R222" s="363">
        <v>0.4</v>
      </c>
      <c r="S222" s="364">
        <f>(M222-3000*36)*40%</f>
        <v>1014000</v>
      </c>
      <c r="T222" s="588" t="s">
        <v>1079</v>
      </c>
      <c r="U222" s="365">
        <f t="shared" si="24"/>
        <v>1521000</v>
      </c>
      <c r="V222" s="365">
        <f t="shared" si="23"/>
        <v>507000</v>
      </c>
      <c r="W222" s="359" t="s">
        <v>1746</v>
      </c>
    </row>
    <row r="223" spans="1:23" ht="63" x14ac:dyDescent="0.25">
      <c r="A223" s="19">
        <v>215</v>
      </c>
      <c r="B223" s="19" t="s">
        <v>2834</v>
      </c>
      <c r="C223" s="233" t="s">
        <v>2865</v>
      </c>
      <c r="D223" s="360" t="s">
        <v>562</v>
      </c>
      <c r="E223" s="360"/>
      <c r="F223" s="153" t="s">
        <v>2864</v>
      </c>
      <c r="G223" s="157" t="s">
        <v>2866</v>
      </c>
      <c r="H223" s="101" t="s">
        <v>2867</v>
      </c>
      <c r="I223" s="19"/>
      <c r="J223" s="10"/>
      <c r="K223" s="10" t="s">
        <v>94</v>
      </c>
      <c r="L223" s="10" t="s">
        <v>777</v>
      </c>
      <c r="M223" s="11">
        <v>1061000</v>
      </c>
      <c r="N223" s="214">
        <v>1277100</v>
      </c>
      <c r="O223" s="19"/>
      <c r="P223" s="22" t="s">
        <v>2103</v>
      </c>
      <c r="Q223" s="19"/>
      <c r="R223" s="363">
        <v>0.4</v>
      </c>
      <c r="S223" s="364">
        <f>(M223-3000*12)*40%</f>
        <v>410000</v>
      </c>
      <c r="T223" s="26"/>
      <c r="U223" s="365">
        <f t="shared" si="24"/>
        <v>571800</v>
      </c>
      <c r="V223" s="365">
        <f t="shared" si="23"/>
        <v>161800</v>
      </c>
      <c r="W223" s="19" t="s">
        <v>1746</v>
      </c>
    </row>
    <row r="224" spans="1:23" ht="63" x14ac:dyDescent="0.25">
      <c r="A224" s="19">
        <v>216</v>
      </c>
      <c r="B224" s="19" t="s">
        <v>2923</v>
      </c>
      <c r="C224" s="233" t="s">
        <v>3057</v>
      </c>
      <c r="D224" s="233"/>
      <c r="E224" s="233"/>
      <c r="F224" s="101" t="s">
        <v>3058</v>
      </c>
      <c r="G224" s="157" t="s">
        <v>3059</v>
      </c>
      <c r="H224" s="101" t="s">
        <v>3060</v>
      </c>
      <c r="I224" s="19"/>
      <c r="J224" s="10"/>
      <c r="K224" s="10" t="s">
        <v>83</v>
      </c>
      <c r="L224" s="19" t="s">
        <v>572</v>
      </c>
      <c r="M224" s="214">
        <v>2828000</v>
      </c>
      <c r="N224" s="214">
        <v>3110800</v>
      </c>
      <c r="O224" s="19"/>
      <c r="P224" s="19" t="s">
        <v>3061</v>
      </c>
      <c r="Q224" s="19"/>
      <c r="R224" s="19"/>
      <c r="S224" s="214">
        <v>610800</v>
      </c>
      <c r="T224" s="26"/>
      <c r="U224" s="365">
        <f t="shared" si="24"/>
        <v>1632000</v>
      </c>
      <c r="V224" s="365">
        <f t="shared" si="23"/>
        <v>1021200</v>
      </c>
      <c r="W224" s="19" t="s">
        <v>1746</v>
      </c>
    </row>
    <row r="225" spans="1:24" s="272" customFormat="1" ht="63" x14ac:dyDescent="0.25">
      <c r="A225" s="266">
        <v>217</v>
      </c>
      <c r="B225" s="266" t="s">
        <v>3062</v>
      </c>
      <c r="C225" s="334" t="s">
        <v>3063</v>
      </c>
      <c r="D225" s="334"/>
      <c r="E225" s="334"/>
      <c r="F225" s="449" t="s">
        <v>3064</v>
      </c>
      <c r="G225" s="268" t="s">
        <v>3065</v>
      </c>
      <c r="H225" s="335" t="s">
        <v>3066</v>
      </c>
      <c r="I225" s="266"/>
      <c r="J225" s="269"/>
      <c r="K225" s="269" t="s">
        <v>83</v>
      </c>
      <c r="L225" s="266" t="s">
        <v>572</v>
      </c>
      <c r="M225" s="273">
        <v>2828000</v>
      </c>
      <c r="N225" s="273">
        <v>3110800</v>
      </c>
      <c r="O225" s="266"/>
      <c r="P225" s="266" t="s">
        <v>3067</v>
      </c>
      <c r="Q225" s="266"/>
      <c r="R225" s="266"/>
      <c r="S225" s="273">
        <v>1110800</v>
      </c>
      <c r="T225" s="589"/>
      <c r="U225" s="508">
        <f t="shared" si="24"/>
        <v>1632000</v>
      </c>
      <c r="V225" s="508">
        <f t="shared" si="23"/>
        <v>521200</v>
      </c>
      <c r="W225" s="266" t="s">
        <v>1746</v>
      </c>
    </row>
    <row r="226" spans="1:24" ht="47.25" x14ac:dyDescent="0.25">
      <c r="A226" s="19">
        <v>218</v>
      </c>
      <c r="B226" s="19" t="s">
        <v>3062</v>
      </c>
      <c r="C226" s="233" t="s">
        <v>3068</v>
      </c>
      <c r="D226" s="233"/>
      <c r="E226" s="233"/>
      <c r="F226" s="153" t="s">
        <v>3069</v>
      </c>
      <c r="G226" s="157" t="s">
        <v>3071</v>
      </c>
      <c r="H226" s="101" t="s">
        <v>3070</v>
      </c>
      <c r="I226" s="19"/>
      <c r="J226" s="10"/>
      <c r="K226" s="356" t="s">
        <v>94</v>
      </c>
      <c r="L226" s="359" t="s">
        <v>572</v>
      </c>
      <c r="M226" s="364">
        <v>2643000</v>
      </c>
      <c r="N226" s="364">
        <v>2907300</v>
      </c>
      <c r="O226" s="19"/>
      <c r="P226" s="19" t="s">
        <v>3067</v>
      </c>
      <c r="Q226" s="19"/>
      <c r="R226" s="19"/>
      <c r="S226" s="214">
        <v>510800</v>
      </c>
      <c r="T226" s="26"/>
      <c r="U226" s="365">
        <f t="shared" si="24"/>
        <v>1521000</v>
      </c>
      <c r="V226" s="365">
        <f t="shared" si="23"/>
        <v>1010200</v>
      </c>
      <c r="W226" s="19" t="s">
        <v>3271</v>
      </c>
    </row>
    <row r="227" spans="1:24" ht="47.25" x14ac:dyDescent="0.25">
      <c r="A227" s="19">
        <v>219</v>
      </c>
      <c r="B227" s="19" t="s">
        <v>2986</v>
      </c>
      <c r="C227" s="233" t="s">
        <v>3073</v>
      </c>
      <c r="D227" s="233" t="s">
        <v>562</v>
      </c>
      <c r="E227" s="233"/>
      <c r="F227" s="153" t="s">
        <v>3072</v>
      </c>
      <c r="G227" s="157" t="s">
        <v>3074</v>
      </c>
      <c r="H227" s="101" t="s">
        <v>3075</v>
      </c>
      <c r="I227" s="19"/>
      <c r="J227" s="10"/>
      <c r="K227" s="356" t="s">
        <v>94</v>
      </c>
      <c r="L227" s="359" t="s">
        <v>572</v>
      </c>
      <c r="M227" s="364">
        <v>2643000</v>
      </c>
      <c r="N227" s="364">
        <v>2907300</v>
      </c>
      <c r="O227" s="19"/>
      <c r="P227" s="19" t="s">
        <v>3067</v>
      </c>
      <c r="Q227" s="19"/>
      <c r="R227" s="165">
        <v>0.4</v>
      </c>
      <c r="S227" s="364">
        <f>(M227-3000*36)*40%</f>
        <v>1014000</v>
      </c>
      <c r="T227" s="26" t="s">
        <v>1079</v>
      </c>
      <c r="U227" s="365">
        <f t="shared" si="24"/>
        <v>1521000</v>
      </c>
      <c r="V227" s="365">
        <f t="shared" si="23"/>
        <v>507000</v>
      </c>
      <c r="W227" s="19" t="s">
        <v>3272</v>
      </c>
    </row>
    <row r="228" spans="1:24" ht="47.25" x14ac:dyDescent="0.25">
      <c r="A228" s="19">
        <v>220</v>
      </c>
      <c r="B228" s="19" t="s">
        <v>3013</v>
      </c>
      <c r="C228" s="233" t="s">
        <v>3076</v>
      </c>
      <c r="D228" s="233" t="s">
        <v>562</v>
      </c>
      <c r="E228" s="233"/>
      <c r="F228" s="153" t="s">
        <v>3078</v>
      </c>
      <c r="G228" s="157" t="s">
        <v>3077</v>
      </c>
      <c r="H228" s="101" t="s">
        <v>3079</v>
      </c>
      <c r="I228" s="19"/>
      <c r="J228" s="10"/>
      <c r="K228" s="356" t="s">
        <v>94</v>
      </c>
      <c r="L228" s="359" t="s">
        <v>572</v>
      </c>
      <c r="M228" s="364">
        <v>2643000</v>
      </c>
      <c r="N228" s="364">
        <v>2907300</v>
      </c>
      <c r="O228" s="19"/>
      <c r="P228" s="19" t="s">
        <v>3080</v>
      </c>
      <c r="Q228" s="19"/>
      <c r="R228" s="165">
        <v>0.4</v>
      </c>
      <c r="S228" s="364">
        <f>(M228-3000*36)*40%</f>
        <v>1014000</v>
      </c>
      <c r="T228" s="26" t="s">
        <v>1079</v>
      </c>
      <c r="U228" s="365">
        <f t="shared" si="24"/>
        <v>1521000</v>
      </c>
      <c r="V228" s="365">
        <f t="shared" si="23"/>
        <v>507000</v>
      </c>
      <c r="W228" s="19" t="s">
        <v>1746</v>
      </c>
    </row>
    <row r="229" spans="1:24" ht="47.25" x14ac:dyDescent="0.25">
      <c r="A229" s="19">
        <v>221</v>
      </c>
      <c r="B229" s="22">
        <v>43831</v>
      </c>
      <c r="C229" s="233" t="s">
        <v>3090</v>
      </c>
      <c r="D229" s="233" t="s">
        <v>562</v>
      </c>
      <c r="E229" s="233"/>
      <c r="F229" s="153" t="s">
        <v>3089</v>
      </c>
      <c r="G229" s="157" t="s">
        <v>3091</v>
      </c>
      <c r="H229" s="153" t="s">
        <v>3092</v>
      </c>
      <c r="I229" s="19"/>
      <c r="J229" s="10"/>
      <c r="K229" s="356" t="s">
        <v>94</v>
      </c>
      <c r="L229" s="359" t="s">
        <v>572</v>
      </c>
      <c r="M229" s="364">
        <v>2643000</v>
      </c>
      <c r="N229" s="364">
        <v>2907300</v>
      </c>
      <c r="O229" s="19"/>
      <c r="P229" s="22">
        <v>44927</v>
      </c>
      <c r="Q229" s="19"/>
      <c r="R229" s="165">
        <v>0.4</v>
      </c>
      <c r="S229" s="364">
        <f>(M229-3000*36)*40%</f>
        <v>1014000</v>
      </c>
      <c r="T229" s="26" t="s">
        <v>1079</v>
      </c>
      <c r="U229" s="365">
        <f t="shared" si="24"/>
        <v>1521000</v>
      </c>
      <c r="V229" s="365">
        <f t="shared" si="23"/>
        <v>507000</v>
      </c>
      <c r="W229" s="19" t="s">
        <v>3250</v>
      </c>
    </row>
    <row r="230" spans="1:24" ht="47.25" x14ac:dyDescent="0.25">
      <c r="A230" s="19">
        <v>222</v>
      </c>
      <c r="B230" s="22">
        <v>44013</v>
      </c>
      <c r="C230" s="233" t="s">
        <v>3148</v>
      </c>
      <c r="D230" s="233" t="s">
        <v>562</v>
      </c>
      <c r="E230" s="233" t="s">
        <v>866</v>
      </c>
      <c r="F230" s="153" t="s">
        <v>3147</v>
      </c>
      <c r="G230" s="157" t="s">
        <v>3149</v>
      </c>
      <c r="H230" s="153" t="s">
        <v>3150</v>
      </c>
      <c r="I230" s="19"/>
      <c r="J230" s="10"/>
      <c r="K230" s="10" t="s">
        <v>94</v>
      </c>
      <c r="L230" s="10" t="s">
        <v>777</v>
      </c>
      <c r="M230" s="11">
        <v>1061000</v>
      </c>
      <c r="N230" s="214">
        <v>1277100</v>
      </c>
      <c r="O230" s="19"/>
      <c r="P230" s="22">
        <v>44013</v>
      </c>
      <c r="Q230" s="19"/>
      <c r="R230" s="165">
        <v>0.4</v>
      </c>
      <c r="S230" s="364">
        <f>(M230-3000*12)*40%</f>
        <v>410000</v>
      </c>
      <c r="T230" s="26"/>
      <c r="U230" s="365">
        <f t="shared" si="24"/>
        <v>571800</v>
      </c>
      <c r="V230" s="365">
        <f t="shared" si="23"/>
        <v>161800</v>
      </c>
      <c r="W230" s="19"/>
      <c r="X230" s="23">
        <f>(M230-3000*12)*5%</f>
        <v>51250</v>
      </c>
    </row>
    <row r="231" spans="1:24" ht="31.5" x14ac:dyDescent="0.25">
      <c r="A231" s="19">
        <v>223</v>
      </c>
      <c r="B231" s="22">
        <v>44013</v>
      </c>
      <c r="C231" s="233" t="s">
        <v>3151</v>
      </c>
      <c r="D231" s="233" t="s">
        <v>3152</v>
      </c>
      <c r="E231" s="233" t="s">
        <v>866</v>
      </c>
      <c r="F231" s="101" t="s">
        <v>3154</v>
      </c>
      <c r="G231" s="157" t="s">
        <v>3153</v>
      </c>
      <c r="H231" s="101"/>
      <c r="I231" s="19"/>
      <c r="J231" s="10" t="s">
        <v>3155</v>
      </c>
      <c r="K231" s="10" t="s">
        <v>83</v>
      </c>
      <c r="L231" s="19" t="s">
        <v>572</v>
      </c>
      <c r="M231" s="214">
        <v>1980000</v>
      </c>
      <c r="N231" s="214">
        <v>1980000</v>
      </c>
      <c r="O231" s="19"/>
      <c r="P231" s="22">
        <v>45108</v>
      </c>
      <c r="Q231" s="19"/>
      <c r="R231" s="165">
        <v>0.5</v>
      </c>
      <c r="S231" s="214">
        <f>N231*R231</f>
        <v>990000</v>
      </c>
      <c r="T231" s="26"/>
      <c r="U231" s="579">
        <f>N231*60%</f>
        <v>1188000</v>
      </c>
      <c r="V231" s="365">
        <f t="shared" si="23"/>
        <v>198000</v>
      </c>
      <c r="W231" s="19" t="s">
        <v>3519</v>
      </c>
      <c r="X231" s="23">
        <f>(M231-3000*12)*5%</f>
        <v>97200</v>
      </c>
    </row>
    <row r="232" spans="1:24" ht="31.5" x14ac:dyDescent="0.25">
      <c r="A232" s="19">
        <v>224</v>
      </c>
      <c r="B232" s="22">
        <v>44013</v>
      </c>
      <c r="C232" s="233" t="s">
        <v>3151</v>
      </c>
      <c r="D232" s="233" t="s">
        <v>3152</v>
      </c>
      <c r="E232" s="233" t="s">
        <v>866</v>
      </c>
      <c r="F232" s="101" t="s">
        <v>3154</v>
      </c>
      <c r="G232" s="157" t="s">
        <v>3153</v>
      </c>
      <c r="H232" s="101"/>
      <c r="I232" s="19"/>
      <c r="J232" s="10" t="s">
        <v>3155</v>
      </c>
      <c r="K232" s="10" t="s">
        <v>83</v>
      </c>
      <c r="L232" s="19" t="s">
        <v>572</v>
      </c>
      <c r="M232" s="214">
        <v>1980000</v>
      </c>
      <c r="N232" s="214">
        <v>1980000</v>
      </c>
      <c r="O232" s="19"/>
      <c r="P232" s="22">
        <v>45108</v>
      </c>
      <c r="Q232" s="19"/>
      <c r="R232" s="165">
        <v>0.5</v>
      </c>
      <c r="S232" s="214">
        <f>N232*R232</f>
        <v>990000</v>
      </c>
      <c r="T232" s="26"/>
      <c r="U232" s="579">
        <f>N232*60%</f>
        <v>1188000</v>
      </c>
      <c r="V232" s="365">
        <f t="shared" si="23"/>
        <v>198000</v>
      </c>
      <c r="W232" s="19" t="s">
        <v>3519</v>
      </c>
      <c r="X232" s="23">
        <f>(M231-3000*36)*5%</f>
        <v>93600</v>
      </c>
    </row>
    <row r="233" spans="1:24" ht="31.5" x14ac:dyDescent="0.25">
      <c r="A233" s="19">
        <v>225</v>
      </c>
      <c r="B233" s="22">
        <v>44013</v>
      </c>
      <c r="C233" s="233" t="s">
        <v>3151</v>
      </c>
      <c r="D233" s="233" t="s">
        <v>3152</v>
      </c>
      <c r="E233" s="233" t="s">
        <v>866</v>
      </c>
      <c r="F233" s="101" t="s">
        <v>3154</v>
      </c>
      <c r="G233" s="157" t="s">
        <v>3153</v>
      </c>
      <c r="H233" s="101"/>
      <c r="I233" s="19"/>
      <c r="J233" s="10" t="s">
        <v>3155</v>
      </c>
      <c r="K233" s="10" t="s">
        <v>83</v>
      </c>
      <c r="L233" s="19" t="s">
        <v>572</v>
      </c>
      <c r="M233" s="214">
        <v>1980000</v>
      </c>
      <c r="N233" s="214">
        <v>1980000</v>
      </c>
      <c r="O233" s="19"/>
      <c r="P233" s="22">
        <v>45108</v>
      </c>
      <c r="Q233" s="19"/>
      <c r="R233" s="165">
        <v>0.5</v>
      </c>
      <c r="S233" s="214">
        <f>N233*R233</f>
        <v>990000</v>
      </c>
      <c r="T233" s="26"/>
      <c r="U233" s="579">
        <f>N233*60%</f>
        <v>1188000</v>
      </c>
      <c r="V233" s="365">
        <f t="shared" si="23"/>
        <v>198000</v>
      </c>
      <c r="W233" s="19" t="s">
        <v>3519</v>
      </c>
      <c r="X233" s="23">
        <f>(M232-3000*36)*5%</f>
        <v>93600</v>
      </c>
    </row>
    <row r="234" spans="1:24" ht="63" x14ac:dyDescent="0.25">
      <c r="A234" s="19">
        <v>226</v>
      </c>
      <c r="B234" s="22">
        <v>44044</v>
      </c>
      <c r="C234" s="233" t="s">
        <v>3156</v>
      </c>
      <c r="D234" s="233" t="s">
        <v>3159</v>
      </c>
      <c r="E234" s="233" t="s">
        <v>866</v>
      </c>
      <c r="F234" s="153" t="s">
        <v>3158</v>
      </c>
      <c r="G234" s="157" t="s">
        <v>3157</v>
      </c>
      <c r="H234" s="101" t="s">
        <v>3160</v>
      </c>
      <c r="I234" s="19"/>
      <c r="J234" s="10"/>
      <c r="K234" s="10" t="s">
        <v>180</v>
      </c>
      <c r="L234" s="19" t="s">
        <v>777</v>
      </c>
      <c r="M234" s="214">
        <v>1161000</v>
      </c>
      <c r="N234" s="214">
        <v>1827100</v>
      </c>
      <c r="O234" s="19"/>
      <c r="P234" s="22">
        <v>44409</v>
      </c>
      <c r="Q234" s="19"/>
      <c r="R234" s="165">
        <v>0.4</v>
      </c>
      <c r="S234" s="214">
        <f>(M234-3000*12)*0.4</f>
        <v>450000</v>
      </c>
      <c r="T234" s="26"/>
      <c r="U234" s="365">
        <f>(M234-3000*12)*0.6</f>
        <v>675000</v>
      </c>
      <c r="V234" s="365">
        <f t="shared" si="23"/>
        <v>225000</v>
      </c>
      <c r="W234" s="19"/>
      <c r="X234" s="23">
        <f>(M234-3000*12)*5%</f>
        <v>56250</v>
      </c>
    </row>
    <row r="235" spans="1:24" ht="31.5" x14ac:dyDescent="0.25">
      <c r="A235" s="19">
        <v>227</v>
      </c>
      <c r="B235" s="22">
        <v>44075</v>
      </c>
      <c r="C235" s="233" t="s">
        <v>3161</v>
      </c>
      <c r="D235" s="233"/>
      <c r="E235" s="233"/>
      <c r="F235" s="153" t="s">
        <v>3162</v>
      </c>
      <c r="G235" s="157" t="s">
        <v>3168</v>
      </c>
      <c r="H235" s="101" t="s">
        <v>3163</v>
      </c>
      <c r="I235" s="19"/>
      <c r="J235" s="10"/>
      <c r="K235" s="10" t="s">
        <v>83</v>
      </c>
      <c r="L235" s="19" t="s">
        <v>572</v>
      </c>
      <c r="M235" s="214">
        <v>2828000</v>
      </c>
      <c r="N235" s="214">
        <v>3110800</v>
      </c>
      <c r="O235" s="19"/>
      <c r="P235" s="22">
        <v>45170</v>
      </c>
      <c r="Q235" s="19"/>
      <c r="R235" s="19"/>
      <c r="S235" s="214">
        <v>110800</v>
      </c>
      <c r="T235" s="26"/>
      <c r="U235" s="365">
        <f>(M235-3000*36)*0.6</f>
        <v>1632000</v>
      </c>
      <c r="V235" s="365">
        <f t="shared" si="23"/>
        <v>1521200</v>
      </c>
      <c r="W235" s="19" t="s">
        <v>3302</v>
      </c>
    </row>
    <row r="236" spans="1:24" s="36" customFormat="1" ht="47.25" x14ac:dyDescent="0.25">
      <c r="A236" s="18">
        <v>228</v>
      </c>
      <c r="B236" s="70">
        <v>44105</v>
      </c>
      <c r="C236" s="195" t="s">
        <v>3165</v>
      </c>
      <c r="D236" s="195" t="s">
        <v>562</v>
      </c>
      <c r="E236" s="195" t="s">
        <v>866</v>
      </c>
      <c r="F236" s="379" t="s">
        <v>3164</v>
      </c>
      <c r="G236" s="137" t="s">
        <v>3166</v>
      </c>
      <c r="H236" s="379" t="s">
        <v>3167</v>
      </c>
      <c r="I236" s="18"/>
      <c r="J236" s="78"/>
      <c r="K236" s="78" t="s">
        <v>94</v>
      </c>
      <c r="L236" s="78" t="s">
        <v>777</v>
      </c>
      <c r="M236" s="80">
        <v>1061000</v>
      </c>
      <c r="N236" s="277">
        <v>1277100</v>
      </c>
      <c r="O236" s="18"/>
      <c r="P236" s="70">
        <v>44470</v>
      </c>
      <c r="Q236" s="18"/>
      <c r="R236" s="87">
        <v>0.4</v>
      </c>
      <c r="S236" s="277">
        <f>(M236-3000*12)*40%</f>
        <v>410000</v>
      </c>
      <c r="T236" s="20"/>
      <c r="U236" s="583">
        <f t="shared" si="24"/>
        <v>571800</v>
      </c>
      <c r="V236" s="583">
        <f t="shared" si="23"/>
        <v>161800</v>
      </c>
      <c r="W236" s="19" t="s">
        <v>783</v>
      </c>
      <c r="X236" s="36">
        <f>(M236-3000*12)*5%</f>
        <v>51250</v>
      </c>
    </row>
    <row r="237" spans="1:24" s="36" customFormat="1" ht="47.25" x14ac:dyDescent="0.25">
      <c r="A237" s="18">
        <v>229</v>
      </c>
      <c r="B237" s="70">
        <v>44105</v>
      </c>
      <c r="C237" s="195" t="s">
        <v>3169</v>
      </c>
      <c r="D237" s="195" t="s">
        <v>562</v>
      </c>
      <c r="E237" s="195" t="s">
        <v>866</v>
      </c>
      <c r="F237" s="487" t="s">
        <v>3171</v>
      </c>
      <c r="G237" s="137" t="s">
        <v>3172</v>
      </c>
      <c r="H237" s="487" t="s">
        <v>3170</v>
      </c>
      <c r="I237" s="18"/>
      <c r="J237" s="78"/>
      <c r="K237" s="78" t="s">
        <v>94</v>
      </c>
      <c r="L237" s="78" t="s">
        <v>777</v>
      </c>
      <c r="M237" s="80">
        <v>1061000</v>
      </c>
      <c r="N237" s="277">
        <v>1277100</v>
      </c>
      <c r="O237" s="18"/>
      <c r="P237" s="70">
        <v>44470</v>
      </c>
      <c r="Q237" s="18"/>
      <c r="R237" s="87">
        <v>0.4</v>
      </c>
      <c r="S237" s="277">
        <f>(M237-3000*12)*40%</f>
        <v>410000</v>
      </c>
      <c r="T237" s="20"/>
      <c r="U237" s="583">
        <f t="shared" si="24"/>
        <v>571800</v>
      </c>
      <c r="V237" s="583">
        <f t="shared" si="23"/>
        <v>161800</v>
      </c>
      <c r="W237" s="19" t="s">
        <v>783</v>
      </c>
      <c r="X237" s="36">
        <f>(M236-3000*12)*5%</f>
        <v>51250</v>
      </c>
    </row>
    <row r="238" spans="1:24" ht="31.5" x14ac:dyDescent="0.25">
      <c r="A238" s="19">
        <v>230</v>
      </c>
      <c r="B238" s="22">
        <v>44136</v>
      </c>
      <c r="C238" s="233" t="s">
        <v>3173</v>
      </c>
      <c r="D238" s="233" t="s">
        <v>457</v>
      </c>
      <c r="E238" s="233"/>
      <c r="F238" s="153" t="s">
        <v>3213</v>
      </c>
      <c r="G238" s="157" t="s">
        <v>3214</v>
      </c>
      <c r="H238" s="101"/>
      <c r="I238" s="19"/>
      <c r="J238" s="10"/>
      <c r="K238" s="10" t="s">
        <v>180</v>
      </c>
      <c r="L238" s="19" t="s">
        <v>777</v>
      </c>
      <c r="M238" s="214">
        <v>1161000</v>
      </c>
      <c r="N238" s="214">
        <v>1827100</v>
      </c>
      <c r="O238" s="19"/>
      <c r="P238" s="22">
        <v>44409</v>
      </c>
      <c r="Q238" s="19"/>
      <c r="R238" s="165">
        <v>0.4</v>
      </c>
      <c r="S238" s="214">
        <f>(M238-3000*12)*40%</f>
        <v>450000</v>
      </c>
      <c r="T238" s="26"/>
      <c r="U238" s="365">
        <f>(M238-3000*12)*0.6</f>
        <v>675000</v>
      </c>
      <c r="V238" s="365">
        <f t="shared" si="23"/>
        <v>225000</v>
      </c>
      <c r="W238" s="19" t="s">
        <v>783</v>
      </c>
    </row>
    <row r="239" spans="1:24" ht="47.25" x14ac:dyDescent="0.25">
      <c r="A239" s="19">
        <v>231</v>
      </c>
      <c r="B239" s="19" t="s">
        <v>3225</v>
      </c>
      <c r="C239" s="233" t="s">
        <v>3215</v>
      </c>
      <c r="D239" s="233" t="s">
        <v>309</v>
      </c>
      <c r="E239" s="233"/>
      <c r="F239" s="101" t="s">
        <v>264</v>
      </c>
      <c r="G239" s="157" t="s">
        <v>3216</v>
      </c>
      <c r="H239" s="101"/>
      <c r="I239" s="19"/>
      <c r="J239" s="10"/>
      <c r="K239" s="10" t="s">
        <v>1430</v>
      </c>
      <c r="L239" s="19" t="s">
        <v>572</v>
      </c>
      <c r="M239" s="364">
        <v>2643000</v>
      </c>
      <c r="N239" s="364">
        <v>2907300</v>
      </c>
      <c r="O239" s="19"/>
      <c r="P239" s="19" t="s">
        <v>3220</v>
      </c>
      <c r="Q239" s="19"/>
      <c r="R239" s="165">
        <v>0.3</v>
      </c>
      <c r="S239" s="214">
        <f>(M239-3000*36)*30%</f>
        <v>760500</v>
      </c>
      <c r="T239" s="26"/>
      <c r="U239" s="365">
        <f t="shared" si="24"/>
        <v>1521000</v>
      </c>
      <c r="V239" s="365">
        <f t="shared" si="23"/>
        <v>760500</v>
      </c>
      <c r="W239" s="19" t="s">
        <v>1037</v>
      </c>
    </row>
    <row r="240" spans="1:24" ht="47.25" x14ac:dyDescent="0.25">
      <c r="A240" s="19">
        <v>232</v>
      </c>
      <c r="B240" s="19" t="s">
        <v>3225</v>
      </c>
      <c r="C240" s="233" t="s">
        <v>3217</v>
      </c>
      <c r="D240" s="233" t="s">
        <v>866</v>
      </c>
      <c r="E240" s="233"/>
      <c r="F240" s="101" t="s">
        <v>3218</v>
      </c>
      <c r="G240" s="157" t="s">
        <v>3219</v>
      </c>
      <c r="H240" s="101"/>
      <c r="I240" s="19"/>
      <c r="J240" s="10"/>
      <c r="K240" s="10" t="s">
        <v>1430</v>
      </c>
      <c r="L240" s="19" t="s">
        <v>572</v>
      </c>
      <c r="M240" s="364">
        <v>2643000</v>
      </c>
      <c r="N240" s="364">
        <v>2907300</v>
      </c>
      <c r="O240" s="19"/>
      <c r="P240" s="19" t="s">
        <v>3220</v>
      </c>
      <c r="Q240" s="19"/>
      <c r="R240" s="165">
        <v>0.35</v>
      </c>
      <c r="S240" s="214">
        <f>(M240-3000*36)*35%</f>
        <v>887250</v>
      </c>
      <c r="T240" s="26"/>
      <c r="U240" s="365">
        <f t="shared" si="24"/>
        <v>1521000</v>
      </c>
      <c r="V240" s="365">
        <f t="shared" si="23"/>
        <v>633750</v>
      </c>
      <c r="W240" s="19" t="s">
        <v>3409</v>
      </c>
    </row>
    <row r="241" spans="1:24" ht="31.5" x14ac:dyDescent="0.25">
      <c r="A241" s="19">
        <v>233</v>
      </c>
      <c r="B241" s="19" t="s">
        <v>3233</v>
      </c>
      <c r="C241" s="233" t="s">
        <v>3240</v>
      </c>
      <c r="D241" s="233" t="s">
        <v>562</v>
      </c>
      <c r="E241" s="233"/>
      <c r="F241" s="101" t="s">
        <v>3237</v>
      </c>
      <c r="G241" s="157" t="s">
        <v>3238</v>
      </c>
      <c r="H241" s="153" t="s">
        <v>3239</v>
      </c>
      <c r="I241" s="19"/>
      <c r="J241" s="10"/>
      <c r="K241" s="10" t="s">
        <v>1430</v>
      </c>
      <c r="L241" s="19" t="s">
        <v>572</v>
      </c>
      <c r="M241" s="364">
        <v>2643000</v>
      </c>
      <c r="N241" s="364">
        <v>2907300</v>
      </c>
      <c r="O241" s="19"/>
      <c r="P241" s="19" t="s">
        <v>3241</v>
      </c>
      <c r="Q241" s="19"/>
      <c r="R241" s="165">
        <v>0.4</v>
      </c>
      <c r="S241" s="214">
        <f>(M241-3000*36)*40%</f>
        <v>1014000</v>
      </c>
      <c r="T241" s="26"/>
      <c r="U241" s="365">
        <f t="shared" si="24"/>
        <v>1521000</v>
      </c>
      <c r="V241" s="365">
        <f t="shared" si="23"/>
        <v>507000</v>
      </c>
      <c r="W241" s="19" t="s">
        <v>3410</v>
      </c>
    </row>
    <row r="242" spans="1:24" ht="47.25" x14ac:dyDescent="0.25">
      <c r="A242" s="19">
        <v>234</v>
      </c>
      <c r="B242" s="19" t="s">
        <v>3233</v>
      </c>
      <c r="C242" s="233" t="s">
        <v>3242</v>
      </c>
      <c r="D242" s="233" t="s">
        <v>1686</v>
      </c>
      <c r="E242" s="233"/>
      <c r="F242" s="153" t="s">
        <v>3243</v>
      </c>
      <c r="G242" s="157" t="s">
        <v>3244</v>
      </c>
      <c r="H242" s="101"/>
      <c r="I242" s="19"/>
      <c r="J242" s="10"/>
      <c r="K242" s="10" t="s">
        <v>1430</v>
      </c>
      <c r="L242" s="19" t="s">
        <v>572</v>
      </c>
      <c r="M242" s="364">
        <v>2643000</v>
      </c>
      <c r="N242" s="364">
        <v>2907300</v>
      </c>
      <c r="O242" s="266"/>
      <c r="P242" s="19" t="s">
        <v>3241</v>
      </c>
      <c r="Q242" s="266"/>
      <c r="R242" s="165">
        <v>0.47</v>
      </c>
      <c r="S242" s="214">
        <f>(M242-3000*36)*47%</f>
        <v>1191450</v>
      </c>
      <c r="T242" s="26"/>
      <c r="U242" s="365">
        <f t="shared" si="24"/>
        <v>1521000</v>
      </c>
      <c r="V242" s="365">
        <f t="shared" si="23"/>
        <v>329550</v>
      </c>
      <c r="W242" s="19" t="s">
        <v>3358</v>
      </c>
    </row>
    <row r="243" spans="1:24" ht="47.25" x14ac:dyDescent="0.25">
      <c r="A243" s="19">
        <v>235</v>
      </c>
      <c r="B243" s="19" t="s">
        <v>3252</v>
      </c>
      <c r="C243" s="233" t="s">
        <v>3251</v>
      </c>
      <c r="D243" s="233" t="s">
        <v>1686</v>
      </c>
      <c r="E243" s="233"/>
      <c r="F243" s="101" t="s">
        <v>3253</v>
      </c>
      <c r="G243" s="157" t="s">
        <v>3254</v>
      </c>
      <c r="H243" s="101"/>
      <c r="I243" s="19"/>
      <c r="J243" s="10"/>
      <c r="K243" s="10" t="s">
        <v>94</v>
      </c>
      <c r="L243" s="10" t="s">
        <v>777</v>
      </c>
      <c r="M243" s="11">
        <v>1061000</v>
      </c>
      <c r="N243" s="214">
        <v>1277100</v>
      </c>
      <c r="O243" s="266"/>
      <c r="P243" s="19" t="s">
        <v>3255</v>
      </c>
      <c r="Q243" s="266"/>
      <c r="R243" s="165">
        <v>0.47</v>
      </c>
      <c r="S243" s="214">
        <f>(M243-3000*36)*47%</f>
        <v>447910</v>
      </c>
      <c r="T243" s="26"/>
      <c r="U243" s="365">
        <f t="shared" si="24"/>
        <v>571800</v>
      </c>
      <c r="V243" s="365">
        <f t="shared" si="23"/>
        <v>123890</v>
      </c>
      <c r="W243" s="19" t="s">
        <v>3357</v>
      </c>
    </row>
    <row r="244" spans="1:24" ht="63" x14ac:dyDescent="0.25">
      <c r="A244" s="19">
        <v>236</v>
      </c>
      <c r="B244" s="19" t="s">
        <v>3256</v>
      </c>
      <c r="C244" s="233" t="s">
        <v>3258</v>
      </c>
      <c r="D244" s="233" t="s">
        <v>562</v>
      </c>
      <c r="E244" s="233" t="s">
        <v>866</v>
      </c>
      <c r="F244" s="101" t="s">
        <v>3257</v>
      </c>
      <c r="G244" s="157" t="s">
        <v>3259</v>
      </c>
      <c r="H244" s="153" t="s">
        <v>3260</v>
      </c>
      <c r="I244" s="19"/>
      <c r="J244" s="10"/>
      <c r="K244" s="10" t="s">
        <v>94</v>
      </c>
      <c r="L244" s="10" t="s">
        <v>777</v>
      </c>
      <c r="M244" s="11">
        <v>1061000</v>
      </c>
      <c r="N244" s="214">
        <v>1277100</v>
      </c>
      <c r="O244" s="19"/>
      <c r="P244" s="19" t="s">
        <v>3261</v>
      </c>
      <c r="Q244" s="19"/>
      <c r="R244" s="165">
        <v>0.4</v>
      </c>
      <c r="S244" s="214">
        <f>(M244-3000*12)*40%</f>
        <v>410000</v>
      </c>
      <c r="T244" s="26"/>
      <c r="U244" s="365">
        <f t="shared" si="24"/>
        <v>571800</v>
      </c>
      <c r="V244" s="365">
        <f t="shared" si="23"/>
        <v>161800</v>
      </c>
      <c r="W244" s="19" t="s">
        <v>856</v>
      </c>
      <c r="X244" s="23">
        <f>(M243-3000*12)*5%</f>
        <v>51250</v>
      </c>
    </row>
    <row r="245" spans="1:24" ht="47.25" x14ac:dyDescent="0.25">
      <c r="A245" s="19">
        <v>237</v>
      </c>
      <c r="B245" s="19" t="s">
        <v>3256</v>
      </c>
      <c r="C245" s="233" t="s">
        <v>3262</v>
      </c>
      <c r="D245" s="233" t="s">
        <v>562</v>
      </c>
      <c r="E245" s="233"/>
      <c r="F245" s="153" t="s">
        <v>3263</v>
      </c>
      <c r="G245" s="157" t="s">
        <v>3264</v>
      </c>
      <c r="H245" s="153" t="s">
        <v>3265</v>
      </c>
      <c r="I245" s="19"/>
      <c r="J245" s="10"/>
      <c r="K245" s="10" t="s">
        <v>94</v>
      </c>
      <c r="L245" s="10" t="s">
        <v>777</v>
      </c>
      <c r="M245" s="11">
        <v>1061000</v>
      </c>
      <c r="N245" s="214">
        <v>1277100</v>
      </c>
      <c r="O245" s="19"/>
      <c r="P245" s="19" t="s">
        <v>3261</v>
      </c>
      <c r="Q245" s="19"/>
      <c r="R245" s="165">
        <v>0.4</v>
      </c>
      <c r="S245" s="214">
        <f>(M245-3000*12)*40%</f>
        <v>410000</v>
      </c>
      <c r="T245" s="26"/>
      <c r="U245" s="365">
        <f t="shared" si="24"/>
        <v>571800</v>
      </c>
      <c r="V245" s="365">
        <f t="shared" si="23"/>
        <v>161800</v>
      </c>
      <c r="W245" s="19" t="s">
        <v>3411</v>
      </c>
    </row>
    <row r="246" spans="1:24" ht="47.25" x14ac:dyDescent="0.25">
      <c r="A246" s="19">
        <v>238</v>
      </c>
      <c r="B246" s="19" t="s">
        <v>3267</v>
      </c>
      <c r="C246" s="233" t="s">
        <v>3266</v>
      </c>
      <c r="D246" s="233" t="s">
        <v>562</v>
      </c>
      <c r="E246" s="233" t="s">
        <v>866</v>
      </c>
      <c r="F246" s="153" t="s">
        <v>3268</v>
      </c>
      <c r="G246" s="157" t="s">
        <v>3269</v>
      </c>
      <c r="H246" s="153" t="s">
        <v>3270</v>
      </c>
      <c r="I246" s="19"/>
      <c r="J246" s="10"/>
      <c r="K246" s="10" t="s">
        <v>94</v>
      </c>
      <c r="L246" s="10" t="s">
        <v>777</v>
      </c>
      <c r="M246" s="11">
        <v>1061000</v>
      </c>
      <c r="N246" s="214">
        <v>1277100</v>
      </c>
      <c r="O246" s="19"/>
      <c r="P246" s="19" t="s">
        <v>3261</v>
      </c>
      <c r="Q246" s="19"/>
      <c r="R246" s="165">
        <v>0.4</v>
      </c>
      <c r="S246" s="214">
        <f>(M246-3000*12)*40%</f>
        <v>410000</v>
      </c>
      <c r="T246" s="26"/>
      <c r="U246" s="365">
        <f t="shared" si="24"/>
        <v>571800</v>
      </c>
      <c r="V246" s="365">
        <f t="shared" si="23"/>
        <v>161800</v>
      </c>
      <c r="W246" s="19" t="s">
        <v>856</v>
      </c>
      <c r="X246" s="23">
        <f>(M245-3000*12)*5%</f>
        <v>51250</v>
      </c>
    </row>
    <row r="247" spans="1:24" ht="47.25" x14ac:dyDescent="0.25">
      <c r="A247" s="19">
        <v>239</v>
      </c>
      <c r="B247" s="19" t="s">
        <v>3299</v>
      </c>
      <c r="C247" s="233" t="s">
        <v>3298</v>
      </c>
      <c r="D247" s="233" t="s">
        <v>1686</v>
      </c>
      <c r="E247" s="233"/>
      <c r="F247" s="153" t="s">
        <v>3300</v>
      </c>
      <c r="G247" s="157" t="s">
        <v>3301</v>
      </c>
      <c r="H247" s="101"/>
      <c r="I247" s="19"/>
      <c r="J247" s="10"/>
      <c r="K247" s="10" t="s">
        <v>94</v>
      </c>
      <c r="L247" s="10" t="s">
        <v>777</v>
      </c>
      <c r="M247" s="11">
        <v>1061000</v>
      </c>
      <c r="N247" s="214">
        <v>1277100</v>
      </c>
      <c r="O247" s="19"/>
      <c r="P247" s="19" t="s">
        <v>3299</v>
      </c>
      <c r="Q247" s="19"/>
      <c r="R247" s="165">
        <v>0.47</v>
      </c>
      <c r="S247" s="214">
        <f>(M247-3000*36)*47%</f>
        <v>447910</v>
      </c>
      <c r="T247" s="26"/>
      <c r="U247" s="365">
        <f t="shared" si="24"/>
        <v>571800</v>
      </c>
      <c r="V247" s="365">
        <f t="shared" si="23"/>
        <v>123890</v>
      </c>
      <c r="W247" s="19" t="s">
        <v>3357</v>
      </c>
    </row>
    <row r="248" spans="1:24" s="215" customFormat="1" ht="63" x14ac:dyDescent="0.25">
      <c r="A248" s="237">
        <v>240</v>
      </c>
      <c r="B248" s="408">
        <v>43892</v>
      </c>
      <c r="C248" s="409" t="s">
        <v>3320</v>
      </c>
      <c r="D248" s="409"/>
      <c r="E248" s="409" t="s">
        <v>457</v>
      </c>
      <c r="F248" s="513" t="s">
        <v>232</v>
      </c>
      <c r="G248" s="511" t="s">
        <v>3321</v>
      </c>
      <c r="H248" s="512" t="s">
        <v>3322</v>
      </c>
      <c r="I248" s="237"/>
      <c r="J248" s="237"/>
      <c r="K248" s="237" t="s">
        <v>1430</v>
      </c>
      <c r="L248" s="237" t="s">
        <v>572</v>
      </c>
      <c r="M248" s="489">
        <v>2643000</v>
      </c>
      <c r="N248" s="489">
        <v>2907300</v>
      </c>
      <c r="O248" s="237"/>
      <c r="P248" s="408">
        <v>44987</v>
      </c>
      <c r="Q248" s="237"/>
      <c r="R248" s="237"/>
      <c r="S248" s="277">
        <f>(M248-3000*36)*10%</f>
        <v>253500</v>
      </c>
      <c r="T248" s="414"/>
      <c r="U248" s="237">
        <f t="shared" si="24"/>
        <v>1521000</v>
      </c>
      <c r="V248" s="237">
        <f t="shared" si="23"/>
        <v>1267500</v>
      </c>
      <c r="W248" s="237" t="s">
        <v>3600</v>
      </c>
    </row>
    <row r="249" spans="1:24" ht="47.25" x14ac:dyDescent="0.25">
      <c r="A249" s="19">
        <v>241</v>
      </c>
      <c r="B249" s="22">
        <v>43953</v>
      </c>
      <c r="C249" s="233" t="s">
        <v>2297</v>
      </c>
      <c r="D249" s="233" t="s">
        <v>474</v>
      </c>
      <c r="E249" s="233" t="s">
        <v>866</v>
      </c>
      <c r="F249" s="101" t="s">
        <v>2299</v>
      </c>
      <c r="G249" s="157" t="s">
        <v>2298</v>
      </c>
      <c r="H249" s="101"/>
      <c r="I249" s="19"/>
      <c r="J249" s="10"/>
      <c r="K249" s="10" t="s">
        <v>180</v>
      </c>
      <c r="L249" s="19" t="s">
        <v>777</v>
      </c>
      <c r="M249" s="214">
        <v>1161000</v>
      </c>
      <c r="N249" s="214">
        <v>1827100</v>
      </c>
      <c r="O249" s="19"/>
      <c r="P249" s="22">
        <v>44318</v>
      </c>
      <c r="Q249" s="19"/>
      <c r="R249" s="165">
        <v>0.4</v>
      </c>
      <c r="S249" s="214">
        <f>(M249-3000*12)*40%</f>
        <v>450000</v>
      </c>
      <c r="T249" s="26"/>
      <c r="U249" s="220">
        <f t="shared" si="24"/>
        <v>631800</v>
      </c>
      <c r="V249" s="220">
        <f t="shared" si="23"/>
        <v>181800</v>
      </c>
      <c r="W249" s="19" t="s">
        <v>3323</v>
      </c>
      <c r="X249" s="23">
        <f>(M249-3000*12)*5%</f>
        <v>56250</v>
      </c>
    </row>
    <row r="250" spans="1:24" ht="47.25" x14ac:dyDescent="0.25">
      <c r="A250" s="19">
        <v>242</v>
      </c>
      <c r="B250" s="22">
        <v>43984</v>
      </c>
      <c r="C250" s="233" t="s">
        <v>765</v>
      </c>
      <c r="D250" s="233" t="s">
        <v>936</v>
      </c>
      <c r="E250" s="233" t="s">
        <v>457</v>
      </c>
      <c r="F250" s="153" t="s">
        <v>766</v>
      </c>
      <c r="G250" s="157" t="s">
        <v>3325</v>
      </c>
      <c r="H250" s="101" t="s">
        <v>939</v>
      </c>
      <c r="I250" s="19"/>
      <c r="J250" s="10"/>
      <c r="K250" s="10" t="s">
        <v>83</v>
      </c>
      <c r="L250" s="19" t="s">
        <v>572</v>
      </c>
      <c r="M250" s="214">
        <v>2828000</v>
      </c>
      <c r="N250" s="214">
        <v>3110800</v>
      </c>
      <c r="O250" s="19"/>
      <c r="P250" s="22">
        <v>45079</v>
      </c>
      <c r="Q250" s="19"/>
      <c r="R250" s="165">
        <v>0.4</v>
      </c>
      <c r="S250" s="214">
        <f>(M250-3000*36)*40%</f>
        <v>1088000</v>
      </c>
      <c r="T250" s="26"/>
      <c r="U250" s="220">
        <f t="shared" si="24"/>
        <v>1632000</v>
      </c>
      <c r="V250" s="220">
        <f t="shared" si="23"/>
        <v>544000</v>
      </c>
      <c r="W250" s="19" t="s">
        <v>1037</v>
      </c>
    </row>
    <row r="251" spans="1:24" ht="47.25" x14ac:dyDescent="0.25">
      <c r="A251" s="19">
        <v>243</v>
      </c>
      <c r="B251" s="22">
        <v>44014</v>
      </c>
      <c r="C251" s="233" t="s">
        <v>3373</v>
      </c>
      <c r="D251" s="233"/>
      <c r="E251" s="233" t="s">
        <v>457</v>
      </c>
      <c r="F251" s="101" t="s">
        <v>3371</v>
      </c>
      <c r="G251" s="157" t="s">
        <v>3372</v>
      </c>
      <c r="H251" s="101" t="s">
        <v>3374</v>
      </c>
      <c r="I251" s="19"/>
      <c r="J251" s="10"/>
      <c r="K251" s="10" t="s">
        <v>180</v>
      </c>
      <c r="L251" s="19" t="s">
        <v>777</v>
      </c>
      <c r="M251" s="214">
        <v>1161000</v>
      </c>
      <c r="N251" s="214">
        <v>1827100</v>
      </c>
      <c r="O251" s="19"/>
      <c r="P251" s="22">
        <v>44379</v>
      </c>
      <c r="Q251" s="19"/>
      <c r="R251" s="19"/>
      <c r="S251" s="214">
        <f>(M251-3000*12)*0.4</f>
        <v>450000</v>
      </c>
      <c r="T251" s="26">
        <f>N251-S251</f>
        <v>1377100</v>
      </c>
      <c r="U251" s="220">
        <f t="shared" si="24"/>
        <v>631800</v>
      </c>
      <c r="V251" s="220">
        <f t="shared" si="23"/>
        <v>181800</v>
      </c>
      <c r="W251" s="19" t="s">
        <v>3458</v>
      </c>
    </row>
    <row r="252" spans="1:24" ht="63" x14ac:dyDescent="0.25">
      <c r="A252" s="19">
        <v>244</v>
      </c>
      <c r="B252" s="22">
        <v>44014</v>
      </c>
      <c r="C252" s="233" t="s">
        <v>3377</v>
      </c>
      <c r="D252" s="233" t="s">
        <v>3376</v>
      </c>
      <c r="E252" s="233"/>
      <c r="F252" s="101" t="s">
        <v>3375</v>
      </c>
      <c r="G252" s="157" t="s">
        <v>3378</v>
      </c>
      <c r="H252" s="101"/>
      <c r="I252" s="19"/>
      <c r="J252" s="10"/>
      <c r="K252" s="10" t="s">
        <v>1430</v>
      </c>
      <c r="L252" s="19" t="s">
        <v>572</v>
      </c>
      <c r="M252" s="364">
        <v>2643000</v>
      </c>
      <c r="N252" s="364">
        <v>2907300</v>
      </c>
      <c r="O252" s="19"/>
      <c r="P252" s="22">
        <v>45109</v>
      </c>
      <c r="Q252" s="19"/>
      <c r="R252" s="165">
        <v>0.45</v>
      </c>
      <c r="S252" s="214">
        <f>(M252-3000*36)*45%</f>
        <v>1140750</v>
      </c>
      <c r="T252" s="26"/>
      <c r="U252" s="220">
        <f>(M252-3000*36)*0.6</f>
        <v>1521000</v>
      </c>
      <c r="V252" s="220">
        <f t="shared" ref="V252:V272" si="25">U252-S252</f>
        <v>380250</v>
      </c>
      <c r="W252" s="19"/>
    </row>
    <row r="253" spans="1:24" ht="47.25" x14ac:dyDescent="0.25">
      <c r="A253" s="19">
        <v>245</v>
      </c>
      <c r="B253" s="22">
        <v>44106</v>
      </c>
      <c r="C253" s="233" t="s">
        <v>3389</v>
      </c>
      <c r="D253" s="233" t="s">
        <v>3391</v>
      </c>
      <c r="E253" s="233"/>
      <c r="F253" s="153" t="s">
        <v>3388</v>
      </c>
      <c r="G253" s="157" t="s">
        <v>3390</v>
      </c>
      <c r="H253" s="101"/>
      <c r="I253" s="19"/>
      <c r="J253" s="10"/>
      <c r="K253" s="10" t="s">
        <v>94</v>
      </c>
      <c r="L253" s="19" t="s">
        <v>777</v>
      </c>
      <c r="M253" s="11">
        <v>1061000</v>
      </c>
      <c r="N253" s="214">
        <v>1277100</v>
      </c>
      <c r="O253" s="19"/>
      <c r="P253" s="22">
        <v>44471</v>
      </c>
      <c r="Q253" s="19"/>
      <c r="R253" s="165">
        <v>0.47</v>
      </c>
      <c r="S253" s="214">
        <f>(M253-3000*12)*47%</f>
        <v>481750</v>
      </c>
      <c r="T253" s="26"/>
      <c r="U253" s="220">
        <f>(M253-3000*36)*0.6</f>
        <v>571800</v>
      </c>
      <c r="V253" s="220">
        <f t="shared" si="25"/>
        <v>90050</v>
      </c>
      <c r="W253" s="19" t="s">
        <v>1746</v>
      </c>
    </row>
    <row r="254" spans="1:24" ht="31.5" x14ac:dyDescent="0.25">
      <c r="A254" s="19">
        <v>246</v>
      </c>
      <c r="B254" s="22">
        <v>44106</v>
      </c>
      <c r="C254" s="233" t="s">
        <v>3393</v>
      </c>
      <c r="D254" s="233" t="s">
        <v>562</v>
      </c>
      <c r="E254" s="233" t="s">
        <v>457</v>
      </c>
      <c r="F254" s="153" t="s">
        <v>3392</v>
      </c>
      <c r="G254" s="157" t="s">
        <v>3394</v>
      </c>
      <c r="H254" s="101" t="s">
        <v>3416</v>
      </c>
      <c r="I254" s="19"/>
      <c r="J254" s="10"/>
      <c r="K254" s="10" t="s">
        <v>1430</v>
      </c>
      <c r="L254" s="19" t="s">
        <v>572</v>
      </c>
      <c r="M254" s="364">
        <v>2643000</v>
      </c>
      <c r="N254" s="364">
        <v>2907300</v>
      </c>
      <c r="O254" s="19"/>
      <c r="P254" s="22">
        <v>45201</v>
      </c>
      <c r="Q254" s="19"/>
      <c r="R254" s="165">
        <v>0.4</v>
      </c>
      <c r="S254" s="214">
        <f>(M254-3000*36)*40%</f>
        <v>1014000</v>
      </c>
      <c r="T254" s="26">
        <v>500000</v>
      </c>
      <c r="U254" s="220">
        <f>(M254-3000*36)*0.6</f>
        <v>1521000</v>
      </c>
      <c r="V254" s="220">
        <f t="shared" si="25"/>
        <v>507000</v>
      </c>
      <c r="W254" s="19" t="s">
        <v>3408</v>
      </c>
    </row>
    <row r="255" spans="1:24" ht="47.25" x14ac:dyDescent="0.25">
      <c r="A255" s="19">
        <v>247</v>
      </c>
      <c r="B255" s="22">
        <v>44137</v>
      </c>
      <c r="C255" s="233" t="s">
        <v>3403</v>
      </c>
      <c r="D255" s="233" t="s">
        <v>3404</v>
      </c>
      <c r="E255" s="233" t="s">
        <v>457</v>
      </c>
      <c r="F255" s="101" t="s">
        <v>3405</v>
      </c>
      <c r="G255" s="157" t="s">
        <v>3406</v>
      </c>
      <c r="H255" s="101" t="s">
        <v>3407</v>
      </c>
      <c r="I255" s="19"/>
      <c r="J255" s="10"/>
      <c r="K255" s="10" t="s">
        <v>94</v>
      </c>
      <c r="L255" s="10" t="s">
        <v>777</v>
      </c>
      <c r="M255" s="11">
        <v>1061000</v>
      </c>
      <c r="N255" s="214">
        <v>1277100</v>
      </c>
      <c r="O255" s="19"/>
      <c r="P255" s="22">
        <v>45232</v>
      </c>
      <c r="Q255" s="19"/>
      <c r="R255" s="165">
        <v>0.35</v>
      </c>
      <c r="S255" s="214">
        <f>N255*R255</f>
        <v>446985</v>
      </c>
      <c r="T255" s="26"/>
      <c r="U255" s="220">
        <f>(M255-3000*12)*0.6</f>
        <v>615000</v>
      </c>
      <c r="V255" s="220">
        <f t="shared" si="25"/>
        <v>168015</v>
      </c>
      <c r="W255" s="19" t="s">
        <v>3520</v>
      </c>
    </row>
    <row r="256" spans="1:24" s="36" customFormat="1" ht="47.25" x14ac:dyDescent="0.25">
      <c r="A256" s="18">
        <v>248</v>
      </c>
      <c r="B256" s="18" t="s">
        <v>3419</v>
      </c>
      <c r="C256" s="195" t="s">
        <v>3412</v>
      </c>
      <c r="D256" s="195" t="s">
        <v>3376</v>
      </c>
      <c r="E256" s="195"/>
      <c r="F256" s="487" t="s">
        <v>3413</v>
      </c>
      <c r="G256" s="137" t="s">
        <v>3414</v>
      </c>
      <c r="H256" s="379"/>
      <c r="I256" s="18"/>
      <c r="J256" s="78"/>
      <c r="K256" s="78" t="s">
        <v>1430</v>
      </c>
      <c r="L256" s="18" t="s">
        <v>572</v>
      </c>
      <c r="M256" s="489">
        <v>2643000</v>
      </c>
      <c r="N256" s="489">
        <v>2907300</v>
      </c>
      <c r="O256" s="18"/>
      <c r="P256" s="70" t="s">
        <v>3415</v>
      </c>
      <c r="Q256" s="18"/>
      <c r="R256" s="87">
        <v>0.45</v>
      </c>
      <c r="S256" s="277">
        <f>(M256-3000*36)*45%</f>
        <v>1140750</v>
      </c>
      <c r="T256" s="20"/>
      <c r="U256" s="237">
        <f>(M256-3000*36)*0.6</f>
        <v>1521000</v>
      </c>
      <c r="V256" s="237">
        <f t="shared" si="25"/>
        <v>380250</v>
      </c>
      <c r="W256" s="18" t="s">
        <v>3601</v>
      </c>
    </row>
    <row r="257" spans="1:24" ht="47.25" x14ac:dyDescent="0.25">
      <c r="A257" s="19">
        <v>249</v>
      </c>
      <c r="B257" s="19" t="s">
        <v>3418</v>
      </c>
      <c r="C257" s="233" t="s">
        <v>3420</v>
      </c>
      <c r="D257" s="233" t="s">
        <v>1110</v>
      </c>
      <c r="E257" s="233" t="s">
        <v>866</v>
      </c>
      <c r="F257" s="101" t="s">
        <v>3417</v>
      </c>
      <c r="G257" s="157" t="s">
        <v>3421</v>
      </c>
      <c r="H257" s="101" t="s">
        <v>3422</v>
      </c>
      <c r="I257" s="19"/>
      <c r="J257" s="10"/>
      <c r="K257" s="10" t="s">
        <v>83</v>
      </c>
      <c r="L257" s="19" t="s">
        <v>572</v>
      </c>
      <c r="M257" s="214">
        <v>2828000</v>
      </c>
      <c r="N257" s="214">
        <v>3110800</v>
      </c>
      <c r="O257" s="19"/>
      <c r="P257" s="19" t="s">
        <v>3423</v>
      </c>
      <c r="Q257" s="19"/>
      <c r="R257" s="165">
        <v>0.45</v>
      </c>
      <c r="S257" s="214">
        <f>M257*45%</f>
        <v>1272600</v>
      </c>
      <c r="T257" s="26">
        <f>N257-S257</f>
        <v>1838200</v>
      </c>
      <c r="U257" s="220">
        <f>(M257-3000*36)*0.6</f>
        <v>1632000</v>
      </c>
      <c r="V257" s="220">
        <f t="shared" si="25"/>
        <v>359400</v>
      </c>
      <c r="W257" s="19" t="s">
        <v>1641</v>
      </c>
      <c r="X257" s="23">
        <f>(M257-3000*36)*5%</f>
        <v>136000</v>
      </c>
    </row>
    <row r="258" spans="1:24" s="36" customFormat="1" ht="47.25" x14ac:dyDescent="0.25">
      <c r="A258" s="18">
        <v>250</v>
      </c>
      <c r="B258" s="18" t="s">
        <v>3419</v>
      </c>
      <c r="C258" s="195" t="s">
        <v>3443</v>
      </c>
      <c r="D258" s="195"/>
      <c r="E258" s="195" t="s">
        <v>457</v>
      </c>
      <c r="F258" s="379" t="s">
        <v>3445</v>
      </c>
      <c r="G258" s="137" t="s">
        <v>3444</v>
      </c>
      <c r="H258" s="379" t="s">
        <v>3446</v>
      </c>
      <c r="I258" s="18"/>
      <c r="J258" s="78"/>
      <c r="K258" s="78" t="s">
        <v>1430</v>
      </c>
      <c r="L258" s="18" t="s">
        <v>572</v>
      </c>
      <c r="M258" s="489">
        <v>2643000</v>
      </c>
      <c r="N258" s="489">
        <v>2907300</v>
      </c>
      <c r="O258" s="18"/>
      <c r="P258" s="70" t="s">
        <v>3415</v>
      </c>
      <c r="Q258" s="18"/>
      <c r="R258" s="87">
        <v>0.4</v>
      </c>
      <c r="S258" s="277">
        <f>(M258-3000*36)*40%</f>
        <v>1014000</v>
      </c>
      <c r="T258" s="20">
        <v>500000</v>
      </c>
      <c r="U258" s="237">
        <f>(M258-3000*36)*0.6</f>
        <v>1521000</v>
      </c>
      <c r="V258" s="237">
        <f t="shared" si="25"/>
        <v>507000</v>
      </c>
      <c r="W258" s="18" t="s">
        <v>3598</v>
      </c>
    </row>
    <row r="259" spans="1:24" ht="31.5" x14ac:dyDescent="0.25">
      <c r="A259" s="19">
        <v>251</v>
      </c>
      <c r="B259" s="19" t="s">
        <v>524</v>
      </c>
      <c r="C259" s="233" t="s">
        <v>3450</v>
      </c>
      <c r="D259" s="233" t="s">
        <v>562</v>
      </c>
      <c r="E259" s="233" t="s">
        <v>457</v>
      </c>
      <c r="F259" s="101" t="s">
        <v>3451</v>
      </c>
      <c r="G259" s="157" t="s">
        <v>3452</v>
      </c>
      <c r="H259" s="101" t="s">
        <v>3453</v>
      </c>
      <c r="I259" s="19"/>
      <c r="J259" s="10"/>
      <c r="K259" s="10" t="s">
        <v>83</v>
      </c>
      <c r="L259" s="19" t="s">
        <v>572</v>
      </c>
      <c r="M259" s="214">
        <v>2828000</v>
      </c>
      <c r="N259" s="214">
        <v>3110800</v>
      </c>
      <c r="O259" s="19"/>
      <c r="P259" s="22" t="s">
        <v>3415</v>
      </c>
      <c r="Q259" s="19"/>
      <c r="R259" s="165">
        <v>0.4</v>
      </c>
      <c r="S259" s="214">
        <f>(M259-3000*36)*40%</f>
        <v>1088000</v>
      </c>
      <c r="T259" s="26">
        <v>610800</v>
      </c>
      <c r="U259" s="220">
        <f>(M259-3000*36)*0.6</f>
        <v>1632000</v>
      </c>
      <c r="V259" s="220">
        <f t="shared" si="25"/>
        <v>544000</v>
      </c>
      <c r="W259" s="19" t="s">
        <v>3461</v>
      </c>
      <c r="X259" s="246">
        <f>N259-S259</f>
        <v>2022800</v>
      </c>
    </row>
    <row r="260" spans="1:24" ht="47.25" x14ac:dyDescent="0.25">
      <c r="A260" s="19">
        <v>251</v>
      </c>
      <c r="B260" s="19" t="s">
        <v>524</v>
      </c>
      <c r="C260" s="233" t="s">
        <v>3455</v>
      </c>
      <c r="D260" s="233" t="s">
        <v>3506</v>
      </c>
      <c r="E260" s="233" t="s">
        <v>457</v>
      </c>
      <c r="F260" s="101" t="s">
        <v>3454</v>
      </c>
      <c r="G260" s="157" t="s">
        <v>3456</v>
      </c>
      <c r="H260" s="101"/>
      <c r="I260" s="19"/>
      <c r="J260" s="10"/>
      <c r="K260" s="10" t="s">
        <v>83</v>
      </c>
      <c r="L260" s="19" t="s">
        <v>572</v>
      </c>
      <c r="M260" s="214">
        <v>2828000</v>
      </c>
      <c r="N260" s="214">
        <v>3110800</v>
      </c>
      <c r="O260" s="19"/>
      <c r="P260" s="19" t="s">
        <v>3457</v>
      </c>
      <c r="Q260" s="19"/>
      <c r="R260" s="19"/>
      <c r="S260" s="214"/>
      <c r="T260" s="26">
        <v>203500</v>
      </c>
      <c r="U260" s="220">
        <f>(M260-3000*36)*0.6</f>
        <v>1632000</v>
      </c>
      <c r="V260" s="220">
        <f t="shared" si="25"/>
        <v>1632000</v>
      </c>
      <c r="W260" s="19" t="s">
        <v>3595</v>
      </c>
    </row>
    <row r="261" spans="1:24" ht="47.25" x14ac:dyDescent="0.25">
      <c r="A261" s="19">
        <v>252</v>
      </c>
      <c r="B261" s="19" t="s">
        <v>3463</v>
      </c>
      <c r="C261" s="233" t="s">
        <v>542</v>
      </c>
      <c r="D261" s="233" t="s">
        <v>457</v>
      </c>
      <c r="E261" s="233"/>
      <c r="F261" s="153" t="s">
        <v>3464</v>
      </c>
      <c r="G261" s="157" t="s">
        <v>3465</v>
      </c>
      <c r="H261" s="101" t="s">
        <v>3467</v>
      </c>
      <c r="I261" s="19"/>
      <c r="J261" s="10"/>
      <c r="K261" s="10" t="s">
        <v>94</v>
      </c>
      <c r="L261" s="19" t="s">
        <v>777</v>
      </c>
      <c r="M261" s="11">
        <v>1061000</v>
      </c>
      <c r="N261" s="214">
        <v>1277100</v>
      </c>
      <c r="O261" s="19"/>
      <c r="P261" s="19" t="s">
        <v>3466</v>
      </c>
      <c r="Q261" s="19"/>
      <c r="R261" s="165">
        <v>0.4</v>
      </c>
      <c r="S261" s="214">
        <f>(M261-3000*12)*40%</f>
        <v>410000</v>
      </c>
      <c r="T261" s="26"/>
      <c r="U261" s="220">
        <f>(M261-3000*12)*0.6</f>
        <v>615000</v>
      </c>
      <c r="V261" s="220">
        <f t="shared" si="25"/>
        <v>205000</v>
      </c>
      <c r="W261" s="19"/>
    </row>
    <row r="262" spans="1:24" ht="47.25" x14ac:dyDescent="0.25">
      <c r="A262" s="19">
        <v>253</v>
      </c>
      <c r="B262" s="19" t="s">
        <v>3505</v>
      </c>
      <c r="C262" s="233" t="s">
        <v>3501</v>
      </c>
      <c r="D262" s="233" t="s">
        <v>562</v>
      </c>
      <c r="E262" s="233" t="s">
        <v>457</v>
      </c>
      <c r="F262" s="101" t="s">
        <v>3500</v>
      </c>
      <c r="G262" s="157" t="s">
        <v>3502</v>
      </c>
      <c r="H262" s="101" t="s">
        <v>3503</v>
      </c>
      <c r="I262" s="19"/>
      <c r="J262" s="10"/>
      <c r="K262" s="10" t="s">
        <v>1430</v>
      </c>
      <c r="L262" s="19" t="s">
        <v>572</v>
      </c>
      <c r="M262" s="364">
        <v>2643000</v>
      </c>
      <c r="N262" s="364">
        <v>2907300</v>
      </c>
      <c r="O262" s="19"/>
      <c r="P262" s="19" t="s">
        <v>3504</v>
      </c>
      <c r="Q262" s="19"/>
      <c r="R262" s="165">
        <v>0.4</v>
      </c>
      <c r="S262" s="214">
        <f>(M262-3000*36)*40%</f>
        <v>1014000</v>
      </c>
      <c r="T262" s="589">
        <v>507300</v>
      </c>
      <c r="U262" s="220">
        <f>(M262-3000*36)*0.6</f>
        <v>1521000</v>
      </c>
      <c r="V262" s="220">
        <f t="shared" si="25"/>
        <v>507000</v>
      </c>
      <c r="W262" s="19" t="s">
        <v>3594</v>
      </c>
    </row>
    <row r="263" spans="1:24" s="217" customFormat="1" ht="31.5" x14ac:dyDescent="0.25">
      <c r="A263" s="220">
        <v>254</v>
      </c>
      <c r="B263" s="239">
        <v>43864</v>
      </c>
      <c r="C263" s="240" t="s">
        <v>3522</v>
      </c>
      <c r="D263" s="240" t="s">
        <v>457</v>
      </c>
      <c r="E263" s="240"/>
      <c r="F263" s="244"/>
      <c r="G263" s="242" t="s">
        <v>3523</v>
      </c>
      <c r="H263" s="244"/>
      <c r="I263" s="220"/>
      <c r="J263" s="220"/>
      <c r="K263" s="220" t="s">
        <v>83</v>
      </c>
      <c r="L263" s="220" t="s">
        <v>572</v>
      </c>
      <c r="M263" s="214">
        <v>2828000</v>
      </c>
      <c r="N263" s="214">
        <v>3110800</v>
      </c>
      <c r="O263" s="220"/>
      <c r="P263" s="220" t="s">
        <v>3457</v>
      </c>
      <c r="Q263" s="220"/>
      <c r="R263" s="243">
        <v>0.4</v>
      </c>
      <c r="S263" s="214">
        <f>(M263-3000*36)*40%</f>
        <v>1088000</v>
      </c>
      <c r="T263" s="376">
        <v>510800</v>
      </c>
      <c r="U263" s="220">
        <f>(M263-3000*36)*0.6</f>
        <v>1632000</v>
      </c>
      <c r="V263" s="220">
        <f t="shared" si="25"/>
        <v>544000</v>
      </c>
      <c r="W263" s="220" t="s">
        <v>3597</v>
      </c>
    </row>
    <row r="264" spans="1:24" s="272" customFormat="1" ht="47.25" x14ac:dyDescent="0.25">
      <c r="A264" s="266">
        <v>255</v>
      </c>
      <c r="B264" s="373">
        <v>43924</v>
      </c>
      <c r="C264" s="334" t="s">
        <v>3524</v>
      </c>
      <c r="D264" s="334" t="s">
        <v>1686</v>
      </c>
      <c r="E264" s="334"/>
      <c r="F264" s="335" t="s">
        <v>3525</v>
      </c>
      <c r="G264" s="268" t="s">
        <v>3526</v>
      </c>
      <c r="H264" s="335"/>
      <c r="I264" s="266"/>
      <c r="J264" s="269"/>
      <c r="K264" s="269" t="s">
        <v>94</v>
      </c>
      <c r="L264" s="266" t="s">
        <v>777</v>
      </c>
      <c r="M264" s="270">
        <v>1061000</v>
      </c>
      <c r="N264" s="273">
        <v>1277100</v>
      </c>
      <c r="O264" s="266"/>
      <c r="P264" s="266" t="s">
        <v>3466</v>
      </c>
      <c r="Q264" s="266"/>
      <c r="R264" s="271">
        <v>0.4</v>
      </c>
      <c r="S264" s="273">
        <f>(M264-3000*12)*47%</f>
        <v>481750</v>
      </c>
      <c r="T264" s="589"/>
      <c r="U264" s="274">
        <f>(M264-3000*12)*0.6</f>
        <v>615000</v>
      </c>
      <c r="V264" s="274">
        <f t="shared" si="25"/>
        <v>133250</v>
      </c>
      <c r="W264" s="266"/>
      <c r="X264" s="272">
        <f>SUM(X230:X257)</f>
        <v>789150</v>
      </c>
    </row>
    <row r="265" spans="1:24" ht="47.25" x14ac:dyDescent="0.25">
      <c r="A265" s="19">
        <v>256</v>
      </c>
      <c r="B265" s="22">
        <v>43985</v>
      </c>
      <c r="C265" s="233" t="s">
        <v>2701</v>
      </c>
      <c r="D265" s="233" t="s">
        <v>479</v>
      </c>
      <c r="E265" s="233" t="s">
        <v>2327</v>
      </c>
      <c r="F265" s="101" t="s">
        <v>2703</v>
      </c>
      <c r="G265" s="157" t="s">
        <v>2702</v>
      </c>
      <c r="H265" s="101"/>
      <c r="I265" s="19"/>
      <c r="J265" s="10"/>
      <c r="K265" s="10" t="s">
        <v>83</v>
      </c>
      <c r="L265" s="10" t="s">
        <v>572</v>
      </c>
      <c r="M265" s="11">
        <v>2828000</v>
      </c>
      <c r="N265" s="11">
        <v>3110800</v>
      </c>
      <c r="O265" s="19"/>
      <c r="P265" s="10" t="s">
        <v>3457</v>
      </c>
      <c r="Q265" s="19"/>
      <c r="R265" s="165">
        <v>0.4</v>
      </c>
      <c r="S265" s="214">
        <f>(M265-3000*36)*40%</f>
        <v>1088000</v>
      </c>
      <c r="T265" s="26"/>
      <c r="U265" s="220">
        <f>(M265-3000*36)*0.6</f>
        <v>1632000</v>
      </c>
      <c r="V265" s="220">
        <f t="shared" si="25"/>
        <v>544000</v>
      </c>
      <c r="W265" s="19" t="s">
        <v>3845</v>
      </c>
    </row>
    <row r="266" spans="1:24" s="36" customFormat="1" ht="47.25" x14ac:dyDescent="0.25">
      <c r="A266" s="18">
        <v>257</v>
      </c>
      <c r="B266" s="70">
        <v>43899</v>
      </c>
      <c r="C266" s="195" t="s">
        <v>3564</v>
      </c>
      <c r="D266" s="195" t="s">
        <v>562</v>
      </c>
      <c r="E266" s="195" t="s">
        <v>3565</v>
      </c>
      <c r="F266" s="379" t="s">
        <v>3566</v>
      </c>
      <c r="G266" s="137" t="s">
        <v>3567</v>
      </c>
      <c r="H266" s="379" t="s">
        <v>3568</v>
      </c>
      <c r="I266" s="18"/>
      <c r="J266" s="78"/>
      <c r="K266" s="78" t="s">
        <v>1430</v>
      </c>
      <c r="L266" s="18" t="s">
        <v>572</v>
      </c>
      <c r="M266" s="489">
        <v>2643000</v>
      </c>
      <c r="N266" s="489">
        <v>2907300</v>
      </c>
      <c r="O266" s="18"/>
      <c r="P266" s="18" t="s">
        <v>3504</v>
      </c>
      <c r="Q266" s="18"/>
      <c r="R266" s="87">
        <v>0.4</v>
      </c>
      <c r="S266" s="277">
        <f>(M266-3000*36)*40%</f>
        <v>1014000</v>
      </c>
      <c r="T266" s="20">
        <v>507300</v>
      </c>
      <c r="U266" s="237">
        <f>(M266-3000*36)*0.6</f>
        <v>1521000</v>
      </c>
      <c r="V266" s="237">
        <f t="shared" si="25"/>
        <v>507000</v>
      </c>
      <c r="W266" s="18" t="s">
        <v>3599</v>
      </c>
    </row>
    <row r="267" spans="1:24" ht="47.25" x14ac:dyDescent="0.25">
      <c r="A267" s="19">
        <v>258</v>
      </c>
      <c r="B267" s="22">
        <v>43901</v>
      </c>
      <c r="C267" s="233" t="s">
        <v>3592</v>
      </c>
      <c r="D267" s="233"/>
      <c r="E267" s="233" t="s">
        <v>457</v>
      </c>
      <c r="F267" s="101" t="s">
        <v>3591</v>
      </c>
      <c r="G267" s="157" t="s">
        <v>3593</v>
      </c>
      <c r="H267" s="101" t="s">
        <v>3743</v>
      </c>
      <c r="I267" s="19"/>
      <c r="J267" s="10"/>
      <c r="K267" s="10" t="s">
        <v>1430</v>
      </c>
      <c r="L267" s="19" t="s">
        <v>572</v>
      </c>
      <c r="M267" s="364">
        <v>2643000</v>
      </c>
      <c r="N267" s="364">
        <v>2907300</v>
      </c>
      <c r="O267" s="19"/>
      <c r="P267" s="22">
        <v>41709</v>
      </c>
      <c r="Q267" s="19"/>
      <c r="R267" s="165">
        <v>0.4</v>
      </c>
      <c r="S267" s="214">
        <f>(M267-3000*36)*40%</f>
        <v>1014000</v>
      </c>
      <c r="T267" s="26">
        <v>507300</v>
      </c>
      <c r="U267" s="220">
        <f>(M267-3000*36)*0.6</f>
        <v>1521000</v>
      </c>
      <c r="V267" s="220">
        <f t="shared" si="25"/>
        <v>507000</v>
      </c>
      <c r="W267" s="19" t="s">
        <v>3768</v>
      </c>
    </row>
    <row r="268" spans="1:24" s="600" customFormat="1" ht="47.25" x14ac:dyDescent="0.25">
      <c r="A268" s="592">
        <v>259</v>
      </c>
      <c r="B268" s="593">
        <v>43902</v>
      </c>
      <c r="C268" s="594" t="s">
        <v>3602</v>
      </c>
      <c r="D268" s="594" t="s">
        <v>3376</v>
      </c>
      <c r="E268" s="594"/>
      <c r="F268" s="595" t="s">
        <v>3603</v>
      </c>
      <c r="G268" s="596" t="s">
        <v>3604</v>
      </c>
      <c r="H268" s="595"/>
      <c r="I268" s="592"/>
      <c r="J268" s="592"/>
      <c r="K268" s="592" t="s">
        <v>94</v>
      </c>
      <c r="L268" s="592" t="s">
        <v>777</v>
      </c>
      <c r="M268" s="597">
        <v>1061000</v>
      </c>
      <c r="N268" s="597">
        <v>1277100</v>
      </c>
      <c r="O268" s="592"/>
      <c r="P268" s="593">
        <v>44267</v>
      </c>
      <c r="Q268" s="592"/>
      <c r="R268" s="598">
        <v>0.45</v>
      </c>
      <c r="S268" s="597">
        <f>(M268-3000*12)*45%</f>
        <v>461250</v>
      </c>
      <c r="T268" s="599" t="s">
        <v>3843</v>
      </c>
      <c r="U268" s="592">
        <f>(M268-3000*12)*0.6</f>
        <v>615000</v>
      </c>
      <c r="V268" s="592">
        <f t="shared" si="25"/>
        <v>153750</v>
      </c>
      <c r="W268" s="592" t="s">
        <v>3769</v>
      </c>
    </row>
    <row r="269" spans="1:24" ht="47.25" x14ac:dyDescent="0.25">
      <c r="A269" s="19">
        <v>260</v>
      </c>
      <c r="B269" s="22">
        <v>43903</v>
      </c>
      <c r="C269" s="233" t="s">
        <v>3606</v>
      </c>
      <c r="D269" s="233" t="s">
        <v>1204</v>
      </c>
      <c r="E269" s="233"/>
      <c r="F269" s="101" t="s">
        <v>3605</v>
      </c>
      <c r="G269" s="157" t="s">
        <v>3607</v>
      </c>
      <c r="H269" s="101"/>
      <c r="I269" s="19"/>
      <c r="J269" s="10"/>
      <c r="K269" s="10" t="s">
        <v>180</v>
      </c>
      <c r="L269" s="19" t="s">
        <v>777</v>
      </c>
      <c r="M269" s="214">
        <v>1161000</v>
      </c>
      <c r="N269" s="214">
        <v>1827100</v>
      </c>
      <c r="O269" s="19"/>
      <c r="P269" s="22">
        <v>44379</v>
      </c>
      <c r="Q269" s="19"/>
      <c r="R269" s="165">
        <v>0.45</v>
      </c>
      <c r="S269" s="214">
        <f>M269*R269</f>
        <v>522450</v>
      </c>
      <c r="T269" s="26">
        <f>N269-S269</f>
        <v>1304650</v>
      </c>
      <c r="U269" s="220">
        <f>(M269-3000*12)*0.6</f>
        <v>675000</v>
      </c>
      <c r="V269" s="220">
        <f t="shared" si="25"/>
        <v>152550</v>
      </c>
      <c r="W269" s="19" t="s">
        <v>1641</v>
      </c>
    </row>
    <row r="270" spans="1:24" ht="47.25" x14ac:dyDescent="0.25">
      <c r="A270" s="19">
        <v>261</v>
      </c>
      <c r="B270" s="22">
        <v>43906</v>
      </c>
      <c r="C270" s="233" t="s">
        <v>3629</v>
      </c>
      <c r="D270" s="233" t="s">
        <v>3376</v>
      </c>
      <c r="E270" s="233"/>
      <c r="F270" s="101" t="s">
        <v>3630</v>
      </c>
      <c r="G270" s="157" t="s">
        <v>3631</v>
      </c>
      <c r="H270" s="101"/>
      <c r="I270" s="19"/>
      <c r="J270" s="10"/>
      <c r="K270" s="10" t="s">
        <v>94</v>
      </c>
      <c r="L270" s="19" t="s">
        <v>777</v>
      </c>
      <c r="M270" s="11">
        <v>1061000</v>
      </c>
      <c r="N270" s="214">
        <v>1277100</v>
      </c>
      <c r="O270" s="19"/>
      <c r="P270" s="22">
        <v>44267</v>
      </c>
      <c r="Q270" s="19"/>
      <c r="R270" s="165">
        <v>0.45</v>
      </c>
      <c r="S270" s="214">
        <f>(M270-3000*12)*45%</f>
        <v>461250</v>
      </c>
      <c r="T270" s="26"/>
      <c r="U270" s="220">
        <f>(M270-3000*12)*0.6</f>
        <v>615000</v>
      </c>
      <c r="V270" s="220">
        <f t="shared" si="25"/>
        <v>153750</v>
      </c>
      <c r="W270" s="19" t="s">
        <v>783</v>
      </c>
    </row>
    <row r="271" spans="1:24" ht="47.25" x14ac:dyDescent="0.25">
      <c r="A271" s="19">
        <v>262</v>
      </c>
      <c r="B271" s="22">
        <v>43907</v>
      </c>
      <c r="C271" s="233" t="s">
        <v>3639</v>
      </c>
      <c r="D271" s="233" t="s">
        <v>1686</v>
      </c>
      <c r="E271" s="233"/>
      <c r="F271" s="101" t="s">
        <v>3640</v>
      </c>
      <c r="G271" s="157" t="s">
        <v>3641</v>
      </c>
      <c r="H271" s="101"/>
      <c r="I271" s="19"/>
      <c r="J271" s="10"/>
      <c r="K271" s="10" t="s">
        <v>1430</v>
      </c>
      <c r="L271" s="19" t="s">
        <v>572</v>
      </c>
      <c r="M271" s="364">
        <v>2643000</v>
      </c>
      <c r="N271" s="364">
        <v>2907300</v>
      </c>
      <c r="O271" s="19"/>
      <c r="P271" s="22">
        <v>41709</v>
      </c>
      <c r="Q271" s="19"/>
      <c r="R271" s="165">
        <v>0.47</v>
      </c>
      <c r="S271" s="214">
        <f>(M271-3000*36)*47%</f>
        <v>1191450</v>
      </c>
      <c r="T271" s="26"/>
      <c r="U271" s="220">
        <f>(M271-3000*36)*0.6</f>
        <v>1521000</v>
      </c>
      <c r="V271" s="220">
        <f t="shared" si="25"/>
        <v>329550</v>
      </c>
      <c r="W271" s="19" t="s">
        <v>3800</v>
      </c>
    </row>
    <row r="272" spans="1:24" ht="47.25" x14ac:dyDescent="0.25">
      <c r="A272" s="19">
        <v>263</v>
      </c>
      <c r="B272" s="22">
        <v>43908</v>
      </c>
      <c r="C272" s="233" t="s">
        <v>3642</v>
      </c>
      <c r="D272" s="233" t="s">
        <v>3506</v>
      </c>
      <c r="E272" s="233" t="s">
        <v>457</v>
      </c>
      <c r="F272" s="101" t="s">
        <v>3643</v>
      </c>
      <c r="G272" s="157" t="s">
        <v>3644</v>
      </c>
      <c r="H272" s="101"/>
      <c r="I272" s="19"/>
      <c r="J272" s="10"/>
      <c r="K272" s="10" t="s">
        <v>1430</v>
      </c>
      <c r="L272" s="19" t="s">
        <v>572</v>
      </c>
      <c r="M272" s="364">
        <v>2643000</v>
      </c>
      <c r="N272" s="364">
        <v>2907300</v>
      </c>
      <c r="O272" s="19"/>
      <c r="P272" s="22">
        <v>41709</v>
      </c>
      <c r="Q272" s="19"/>
      <c r="R272" s="165">
        <v>0.2</v>
      </c>
      <c r="S272" s="214">
        <f>(M272-3000*36)*20%</f>
        <v>507000</v>
      </c>
      <c r="T272" s="26">
        <v>600000</v>
      </c>
      <c r="U272" s="220">
        <f>(M272-3000*36)*0.6</f>
        <v>1521000</v>
      </c>
      <c r="V272" s="220">
        <f t="shared" si="25"/>
        <v>1014000</v>
      </c>
      <c r="W272" s="19" t="s">
        <v>3770</v>
      </c>
    </row>
    <row r="273" spans="1:23" ht="47.25" x14ac:dyDescent="0.25">
      <c r="A273" s="19">
        <v>264</v>
      </c>
      <c r="B273" s="22">
        <v>43908</v>
      </c>
      <c r="C273" s="233" t="s">
        <v>3645</v>
      </c>
      <c r="D273" s="233" t="s">
        <v>562</v>
      </c>
      <c r="E273" s="233" t="s">
        <v>3646</v>
      </c>
      <c r="F273" s="101" t="s">
        <v>3647</v>
      </c>
      <c r="G273" s="157" t="s">
        <v>3648</v>
      </c>
      <c r="H273" s="101"/>
      <c r="I273" s="19"/>
      <c r="J273" s="10"/>
      <c r="K273" s="10" t="s">
        <v>1430</v>
      </c>
      <c r="L273" s="19" t="s">
        <v>572</v>
      </c>
      <c r="M273" s="364">
        <v>2643000</v>
      </c>
      <c r="N273" s="364">
        <v>2907300</v>
      </c>
      <c r="O273" s="19"/>
      <c r="P273" s="22">
        <v>41709</v>
      </c>
      <c r="Q273" s="19"/>
      <c r="R273" s="165">
        <v>0.4</v>
      </c>
      <c r="S273" s="214">
        <f>(M273-3000*36)*40%</f>
        <v>1014000</v>
      </c>
      <c r="T273" s="26">
        <v>507300</v>
      </c>
      <c r="U273" s="220">
        <f>(M273-3000*36)*0.6</f>
        <v>1521000</v>
      </c>
      <c r="V273" s="220">
        <f t="shared" ref="V273:V343" si="26">U273-S273</f>
        <v>507000</v>
      </c>
      <c r="W273" s="19" t="s">
        <v>1746</v>
      </c>
    </row>
    <row r="274" spans="1:23" ht="63" x14ac:dyDescent="0.25">
      <c r="A274" s="19">
        <v>265</v>
      </c>
      <c r="B274" s="22">
        <v>43908</v>
      </c>
      <c r="C274" s="233" t="s">
        <v>3649</v>
      </c>
      <c r="D274" s="233" t="s">
        <v>309</v>
      </c>
      <c r="E274" s="233" t="s">
        <v>2327</v>
      </c>
      <c r="F274" s="101" t="s">
        <v>3650</v>
      </c>
      <c r="G274" s="157" t="s">
        <v>3651</v>
      </c>
      <c r="H274" s="101"/>
      <c r="I274" s="19"/>
      <c r="J274" s="10"/>
      <c r="K274" s="10" t="s">
        <v>83</v>
      </c>
      <c r="L274" s="19" t="s">
        <v>572</v>
      </c>
      <c r="M274" s="214">
        <v>2828000</v>
      </c>
      <c r="N274" s="214">
        <v>3110800</v>
      </c>
      <c r="O274" s="19"/>
      <c r="P274" s="22">
        <v>45004</v>
      </c>
      <c r="Q274" s="19"/>
      <c r="R274" s="165">
        <v>0.4</v>
      </c>
      <c r="S274" s="214">
        <f>(M274-3000*36)*40%</f>
        <v>1088000</v>
      </c>
      <c r="T274" s="26"/>
      <c r="U274" s="220">
        <f>(M274-3000*36)*0.6</f>
        <v>1632000</v>
      </c>
      <c r="V274" s="220">
        <f t="shared" si="26"/>
        <v>544000</v>
      </c>
      <c r="W274" s="19" t="s">
        <v>3771</v>
      </c>
    </row>
    <row r="275" spans="1:23" ht="47.25" x14ac:dyDescent="0.25">
      <c r="A275" s="19">
        <v>266</v>
      </c>
      <c r="B275" s="22">
        <v>37334</v>
      </c>
      <c r="C275" s="233" t="s">
        <v>3661</v>
      </c>
      <c r="D275" s="233" t="s">
        <v>954</v>
      </c>
      <c r="E275" s="233" t="s">
        <v>457</v>
      </c>
      <c r="F275" s="101" t="s">
        <v>3660</v>
      </c>
      <c r="G275" s="157" t="s">
        <v>3662</v>
      </c>
      <c r="H275" s="101" t="s">
        <v>3663</v>
      </c>
      <c r="I275" s="19"/>
      <c r="J275" s="10"/>
      <c r="K275" s="10" t="s">
        <v>94</v>
      </c>
      <c r="L275" s="19" t="s">
        <v>756</v>
      </c>
      <c r="M275" s="214">
        <v>1992000</v>
      </c>
      <c r="N275" s="214">
        <v>2191200</v>
      </c>
      <c r="O275" s="19"/>
      <c r="P275" s="22">
        <v>44639</v>
      </c>
      <c r="Q275" s="19"/>
      <c r="R275" s="165">
        <v>0.4</v>
      </c>
      <c r="S275" s="214">
        <f>(M275-3000*24)*40%</f>
        <v>768000</v>
      </c>
      <c r="T275" s="26"/>
      <c r="U275" s="220">
        <f>(M275-3000*24)*0.6</f>
        <v>1152000</v>
      </c>
      <c r="V275" s="220">
        <f t="shared" si="26"/>
        <v>384000</v>
      </c>
      <c r="W275" s="19" t="s">
        <v>3931</v>
      </c>
    </row>
    <row r="276" spans="1:23" s="272" customFormat="1" ht="47.25" x14ac:dyDescent="0.25">
      <c r="A276" s="266">
        <v>267</v>
      </c>
      <c r="B276" s="373">
        <v>43910</v>
      </c>
      <c r="C276" s="334" t="s">
        <v>3664</v>
      </c>
      <c r="D276" s="334"/>
      <c r="E276" s="334" t="s">
        <v>3646</v>
      </c>
      <c r="F276" s="335" t="s">
        <v>3667</v>
      </c>
      <c r="G276" s="268" t="s">
        <v>3666</v>
      </c>
      <c r="H276" s="335" t="s">
        <v>3665</v>
      </c>
      <c r="I276" s="266"/>
      <c r="J276" s="269"/>
      <c r="K276" s="269" t="s">
        <v>83</v>
      </c>
      <c r="L276" s="269" t="s">
        <v>103</v>
      </c>
      <c r="M276" s="273">
        <v>1992000</v>
      </c>
      <c r="N276" s="273">
        <v>2741200</v>
      </c>
      <c r="O276" s="19"/>
      <c r="P276" s="373">
        <v>44640</v>
      </c>
      <c r="Q276" s="19"/>
      <c r="R276" s="271"/>
      <c r="S276" s="214">
        <f>(M276-3000*24)*50%</f>
        <v>960000</v>
      </c>
      <c r="T276" s="589">
        <f>N276-S276</f>
        <v>1781200</v>
      </c>
      <c r="U276" s="274">
        <f>(M276-3000*24)*0.6</f>
        <v>1152000</v>
      </c>
      <c r="V276" s="274">
        <f t="shared" si="26"/>
        <v>192000</v>
      </c>
      <c r="W276" s="266"/>
    </row>
    <row r="277" spans="1:23" ht="31.5" x14ac:dyDescent="0.25">
      <c r="A277" s="19">
        <v>268</v>
      </c>
      <c r="B277" s="22">
        <v>43910</v>
      </c>
      <c r="C277" s="233" t="s">
        <v>3668</v>
      </c>
      <c r="D277" s="233" t="s">
        <v>954</v>
      </c>
      <c r="E277" s="233" t="s">
        <v>3646</v>
      </c>
      <c r="F277" s="101" t="s">
        <v>3669</v>
      </c>
      <c r="G277" s="157" t="s">
        <v>3670</v>
      </c>
      <c r="H277" s="101" t="s">
        <v>3744</v>
      </c>
      <c r="I277" s="19"/>
      <c r="J277" s="10"/>
      <c r="K277" s="10" t="s">
        <v>94</v>
      </c>
      <c r="L277" s="19" t="s">
        <v>777</v>
      </c>
      <c r="M277" s="11">
        <v>1061000</v>
      </c>
      <c r="N277" s="214">
        <v>1277100</v>
      </c>
      <c r="O277" s="19"/>
      <c r="P277" s="22">
        <v>44275</v>
      </c>
      <c r="Q277" s="19"/>
      <c r="R277" s="165">
        <v>0.4</v>
      </c>
      <c r="S277" s="214">
        <f>(M277-3000*12)*40%</f>
        <v>410000</v>
      </c>
      <c r="T277" s="26">
        <v>200000</v>
      </c>
      <c r="U277" s="220">
        <f>(M277-3000*12)*0.6</f>
        <v>615000</v>
      </c>
      <c r="V277" s="220">
        <f t="shared" si="26"/>
        <v>205000</v>
      </c>
      <c r="W277" s="19" t="s">
        <v>3908</v>
      </c>
    </row>
    <row r="278" spans="1:23" ht="47.25" x14ac:dyDescent="0.25">
      <c r="A278" s="19">
        <v>269</v>
      </c>
      <c r="B278" s="22">
        <v>43911</v>
      </c>
      <c r="C278" s="233" t="s">
        <v>3676</v>
      </c>
      <c r="D278" s="233" t="s">
        <v>3506</v>
      </c>
      <c r="E278" s="233" t="s">
        <v>457</v>
      </c>
      <c r="F278" s="101" t="s">
        <v>3675</v>
      </c>
      <c r="G278" s="157" t="s">
        <v>3677</v>
      </c>
      <c r="H278" s="101"/>
      <c r="I278" s="19"/>
      <c r="J278" s="10"/>
      <c r="K278" s="10" t="s">
        <v>1430</v>
      </c>
      <c r="L278" s="19" t="s">
        <v>572</v>
      </c>
      <c r="M278" s="364">
        <v>2643000</v>
      </c>
      <c r="N278" s="364">
        <v>2907300</v>
      </c>
      <c r="O278" s="19"/>
      <c r="P278" s="22">
        <v>41354</v>
      </c>
      <c r="Q278" s="19"/>
      <c r="R278" s="165">
        <v>0.1</v>
      </c>
      <c r="S278" s="214">
        <f>(M278-3000*36)*10%</f>
        <v>253500</v>
      </c>
      <c r="T278" s="26">
        <v>600000</v>
      </c>
      <c r="U278" s="220">
        <f>(M278-3000*36)*0.6</f>
        <v>1521000</v>
      </c>
      <c r="V278" s="220">
        <f t="shared" si="26"/>
        <v>1267500</v>
      </c>
      <c r="W278" s="19" t="s">
        <v>3772</v>
      </c>
    </row>
    <row r="279" spans="1:23" ht="47.25" x14ac:dyDescent="0.25">
      <c r="A279" s="19">
        <v>270</v>
      </c>
      <c r="B279" s="22">
        <v>43915</v>
      </c>
      <c r="C279" s="233" t="s">
        <v>3678</v>
      </c>
      <c r="D279" s="233" t="s">
        <v>502</v>
      </c>
      <c r="E279" s="233" t="s">
        <v>3646</v>
      </c>
      <c r="F279" s="101" t="s">
        <v>3679</v>
      </c>
      <c r="G279" s="157" t="s">
        <v>3680</v>
      </c>
      <c r="H279" s="101"/>
      <c r="I279" s="19"/>
      <c r="J279" s="10"/>
      <c r="K279" s="10" t="s">
        <v>94</v>
      </c>
      <c r="L279" s="19" t="s">
        <v>777</v>
      </c>
      <c r="M279" s="11">
        <v>1061000</v>
      </c>
      <c r="N279" s="214">
        <v>1277100</v>
      </c>
      <c r="O279" s="19"/>
      <c r="P279" s="22">
        <v>44275</v>
      </c>
      <c r="Q279" s="19"/>
      <c r="R279" s="165"/>
      <c r="S279" s="214">
        <v>177100</v>
      </c>
      <c r="T279" s="26"/>
      <c r="U279" s="220">
        <f>(M279-3000*12)*0.6</f>
        <v>615000</v>
      </c>
      <c r="V279" s="220">
        <f t="shared" si="26"/>
        <v>437900</v>
      </c>
      <c r="W279" s="19" t="s">
        <v>1746</v>
      </c>
    </row>
    <row r="280" spans="1:23" ht="31.5" x14ac:dyDescent="0.25">
      <c r="A280" s="19">
        <v>271</v>
      </c>
      <c r="B280" s="22">
        <v>43916</v>
      </c>
      <c r="C280" s="233" t="s">
        <v>3682</v>
      </c>
      <c r="D280" s="233" t="s">
        <v>562</v>
      </c>
      <c r="E280" s="233" t="s">
        <v>457</v>
      </c>
      <c r="F280" s="101" t="s">
        <v>3681</v>
      </c>
      <c r="G280" s="157" t="s">
        <v>3683</v>
      </c>
      <c r="H280" s="101" t="s">
        <v>3684</v>
      </c>
      <c r="I280" s="19"/>
      <c r="J280" s="10"/>
      <c r="K280" s="10" t="s">
        <v>1430</v>
      </c>
      <c r="L280" s="19" t="s">
        <v>572</v>
      </c>
      <c r="M280" s="364">
        <v>2643000</v>
      </c>
      <c r="N280" s="364">
        <v>2907300</v>
      </c>
      <c r="O280" s="19"/>
      <c r="P280" s="22">
        <v>41354</v>
      </c>
      <c r="Q280" s="19"/>
      <c r="R280" s="165">
        <v>0.4</v>
      </c>
      <c r="S280" s="214">
        <f>(M280-3000*36)*40%</f>
        <v>1014000</v>
      </c>
      <c r="T280" s="26">
        <v>507300</v>
      </c>
      <c r="U280" s="220">
        <f>(M280-3000*36)*0.6</f>
        <v>1521000</v>
      </c>
      <c r="V280" s="220">
        <f t="shared" si="26"/>
        <v>507000</v>
      </c>
      <c r="W280" s="19" t="s">
        <v>3909</v>
      </c>
    </row>
    <row r="281" spans="1:23" ht="63" x14ac:dyDescent="0.25">
      <c r="A281" s="19">
        <v>272</v>
      </c>
      <c r="B281" s="22">
        <v>43916</v>
      </c>
      <c r="C281" s="233" t="s">
        <v>3685</v>
      </c>
      <c r="D281" s="233" t="s">
        <v>562</v>
      </c>
      <c r="E281" s="233" t="s">
        <v>457</v>
      </c>
      <c r="F281" s="101" t="s">
        <v>3686</v>
      </c>
      <c r="G281" s="157" t="s">
        <v>3687</v>
      </c>
      <c r="H281" s="101" t="s">
        <v>3688</v>
      </c>
      <c r="I281" s="19"/>
      <c r="J281" s="10"/>
      <c r="K281" s="10" t="s">
        <v>1430</v>
      </c>
      <c r="L281" s="19" t="s">
        <v>572</v>
      </c>
      <c r="M281" s="364">
        <v>2643000</v>
      </c>
      <c r="N281" s="364">
        <v>2907300</v>
      </c>
      <c r="O281" s="19"/>
      <c r="P281" s="22">
        <v>41354</v>
      </c>
      <c r="Q281" s="19"/>
      <c r="R281" s="165">
        <v>0.4</v>
      </c>
      <c r="S281" s="214">
        <f>(M281-3000*36)*40%</f>
        <v>1014000</v>
      </c>
      <c r="T281" s="26">
        <v>507300</v>
      </c>
      <c r="U281" s="220">
        <f>(M281-3000*36)*0.6</f>
        <v>1521000</v>
      </c>
      <c r="V281" s="220">
        <f t="shared" si="26"/>
        <v>507000</v>
      </c>
      <c r="W281" s="19" t="s">
        <v>3773</v>
      </c>
    </row>
    <row r="282" spans="1:23" ht="47.25" x14ac:dyDescent="0.25">
      <c r="A282" s="19">
        <v>273</v>
      </c>
      <c r="B282" s="22">
        <v>43917</v>
      </c>
      <c r="C282" s="233" t="s">
        <v>3709</v>
      </c>
      <c r="D282" s="233" t="s">
        <v>3622</v>
      </c>
      <c r="E282" s="233" t="s">
        <v>3646</v>
      </c>
      <c r="F282" s="101" t="s">
        <v>3708</v>
      </c>
      <c r="G282" s="157" t="s">
        <v>3710</v>
      </c>
      <c r="H282" s="101" t="s">
        <v>3713</v>
      </c>
      <c r="I282" s="19"/>
      <c r="J282" s="10"/>
      <c r="K282" s="10" t="s">
        <v>1430</v>
      </c>
      <c r="L282" s="19" t="s">
        <v>572</v>
      </c>
      <c r="M282" s="364">
        <v>2643000</v>
      </c>
      <c r="N282" s="364">
        <v>2907300</v>
      </c>
      <c r="O282" s="19"/>
      <c r="P282" s="22">
        <v>41354</v>
      </c>
      <c r="Q282" s="19"/>
      <c r="R282" s="165">
        <v>0.4</v>
      </c>
      <c r="S282" s="214">
        <f>(M282-3000*36)*40%</f>
        <v>1014000</v>
      </c>
      <c r="T282" s="26">
        <v>507300</v>
      </c>
      <c r="U282" s="220">
        <f>(M282-3000*36)*0.6</f>
        <v>1521000</v>
      </c>
      <c r="V282" s="220">
        <f t="shared" si="26"/>
        <v>507000</v>
      </c>
      <c r="W282" s="19" t="s">
        <v>3745</v>
      </c>
    </row>
    <row r="283" spans="1:23" ht="47.25" x14ac:dyDescent="0.25">
      <c r="A283" s="19">
        <v>274</v>
      </c>
      <c r="B283" s="22">
        <v>43917</v>
      </c>
      <c r="C283" s="233" t="s">
        <v>3715</v>
      </c>
      <c r="D283" s="233" t="s">
        <v>474</v>
      </c>
      <c r="E283" s="233" t="s">
        <v>3646</v>
      </c>
      <c r="F283" s="101" t="s">
        <v>3714</v>
      </c>
      <c r="G283" s="157" t="s">
        <v>3716</v>
      </c>
      <c r="H283" s="101" t="s">
        <v>363</v>
      </c>
      <c r="I283" s="19"/>
      <c r="J283" s="10"/>
      <c r="K283" s="10" t="s">
        <v>83</v>
      </c>
      <c r="L283" s="19" t="s">
        <v>777</v>
      </c>
      <c r="M283" s="214">
        <v>1161000</v>
      </c>
      <c r="N283" s="214">
        <v>1827100</v>
      </c>
      <c r="O283" s="266"/>
      <c r="P283" s="22">
        <v>44286</v>
      </c>
      <c r="Q283" s="266"/>
      <c r="R283" s="165">
        <v>0.4</v>
      </c>
      <c r="S283" s="214">
        <f>(M283-3000*12)*40%</f>
        <v>450000</v>
      </c>
      <c r="T283" s="26"/>
      <c r="U283" s="220">
        <f>(M283-3000*12)*0.6</f>
        <v>675000</v>
      </c>
      <c r="V283" s="220">
        <f t="shared" si="26"/>
        <v>225000</v>
      </c>
      <c r="W283" s="220" t="s">
        <v>1923</v>
      </c>
    </row>
    <row r="284" spans="1:23" ht="47.25" x14ac:dyDescent="0.25">
      <c r="A284" s="19">
        <v>275</v>
      </c>
      <c r="B284" s="22">
        <v>43918</v>
      </c>
      <c r="C284" s="233" t="s">
        <v>3717</v>
      </c>
      <c r="D284" s="233" t="s">
        <v>1686</v>
      </c>
      <c r="E284" s="233"/>
      <c r="F284" s="101" t="s">
        <v>3719</v>
      </c>
      <c r="G284" s="157" t="s">
        <v>3718</v>
      </c>
      <c r="H284" s="101"/>
      <c r="I284" s="19"/>
      <c r="J284" s="10"/>
      <c r="K284" s="10" t="s">
        <v>1430</v>
      </c>
      <c r="L284" s="19" t="s">
        <v>572</v>
      </c>
      <c r="M284" s="364">
        <v>2643000</v>
      </c>
      <c r="N284" s="364">
        <v>2907300</v>
      </c>
      <c r="O284" s="19"/>
      <c r="P284" s="22">
        <v>41360</v>
      </c>
      <c r="Q284" s="19"/>
      <c r="R284" s="165">
        <v>0.47</v>
      </c>
      <c r="S284" s="214">
        <f>(M284-3000*36)*47%</f>
        <v>1191450</v>
      </c>
      <c r="T284" s="26"/>
      <c r="U284" s="220">
        <f>(M284-3000*36)*0.6</f>
        <v>1521000</v>
      </c>
      <c r="V284" s="220">
        <f t="shared" si="26"/>
        <v>329550</v>
      </c>
      <c r="W284" s="19" t="s">
        <v>1746</v>
      </c>
    </row>
    <row r="285" spans="1:23" ht="31.5" x14ac:dyDescent="0.25">
      <c r="A285" s="19">
        <v>276</v>
      </c>
      <c r="B285" s="22">
        <v>43918</v>
      </c>
      <c r="C285" s="233" t="s">
        <v>3720</v>
      </c>
      <c r="D285" s="233" t="s">
        <v>3404</v>
      </c>
      <c r="E285" s="233" t="s">
        <v>3646</v>
      </c>
      <c r="F285" s="101" t="s">
        <v>3721</v>
      </c>
      <c r="G285" s="157" t="s">
        <v>3722</v>
      </c>
      <c r="H285" s="101" t="s">
        <v>3723</v>
      </c>
      <c r="I285" s="19"/>
      <c r="J285" s="10"/>
      <c r="K285" s="10" t="s">
        <v>1430</v>
      </c>
      <c r="L285" s="19" t="s">
        <v>572</v>
      </c>
      <c r="M285" s="364">
        <v>2643000</v>
      </c>
      <c r="N285" s="364">
        <v>2907300</v>
      </c>
      <c r="O285" s="19"/>
      <c r="P285" s="22">
        <v>41361</v>
      </c>
      <c r="Q285" s="19"/>
      <c r="R285" s="165">
        <v>0.4</v>
      </c>
      <c r="S285" s="214">
        <f t="shared" ref="S285:S291" si="27">(M285-3000*36)*40%</f>
        <v>1014000</v>
      </c>
      <c r="T285" s="26">
        <v>1207300</v>
      </c>
      <c r="U285" s="220">
        <f>(M285-3000*36)*0.6</f>
        <v>1521000</v>
      </c>
      <c r="V285" s="376">
        <f>U285-T285</f>
        <v>313700</v>
      </c>
      <c r="W285" s="19" t="s">
        <v>3753</v>
      </c>
    </row>
    <row r="286" spans="1:23" ht="47.25" x14ac:dyDescent="0.25">
      <c r="A286" s="19">
        <v>277</v>
      </c>
      <c r="B286" s="22">
        <v>43920</v>
      </c>
      <c r="C286" s="233" t="s">
        <v>3724</v>
      </c>
      <c r="D286" s="233" t="s">
        <v>562</v>
      </c>
      <c r="E286" s="233" t="s">
        <v>3565</v>
      </c>
      <c r="F286" s="101" t="s">
        <v>3727</v>
      </c>
      <c r="G286" s="157" t="s">
        <v>3726</v>
      </c>
      <c r="H286" s="101" t="s">
        <v>3725</v>
      </c>
      <c r="I286" s="19"/>
      <c r="J286" s="10"/>
      <c r="K286" s="10" t="s">
        <v>83</v>
      </c>
      <c r="L286" s="19" t="s">
        <v>572</v>
      </c>
      <c r="M286" s="214">
        <v>2828000</v>
      </c>
      <c r="N286" s="214">
        <v>3110800</v>
      </c>
      <c r="O286" s="19"/>
      <c r="P286" s="22">
        <v>41361</v>
      </c>
      <c r="Q286" s="19"/>
      <c r="R286" s="165">
        <v>0.4</v>
      </c>
      <c r="S286" s="214">
        <f t="shared" si="27"/>
        <v>1088000</v>
      </c>
      <c r="T286" s="26">
        <v>507300</v>
      </c>
      <c r="U286" s="220">
        <f t="shared" ref="U286:U296" si="28">(M286-3000*36)*0.6</f>
        <v>1632000</v>
      </c>
      <c r="V286" s="220">
        <f t="shared" si="26"/>
        <v>544000</v>
      </c>
      <c r="W286" s="19" t="s">
        <v>3774</v>
      </c>
    </row>
    <row r="287" spans="1:23" ht="47.25" x14ac:dyDescent="0.25">
      <c r="A287" s="19">
        <v>278</v>
      </c>
      <c r="B287" s="22">
        <v>43920</v>
      </c>
      <c r="C287" s="233" t="s">
        <v>3728</v>
      </c>
      <c r="D287" s="233" t="s">
        <v>2163</v>
      </c>
      <c r="E287" s="233" t="s">
        <v>3646</v>
      </c>
      <c r="F287" s="101" t="s">
        <v>3730</v>
      </c>
      <c r="G287" s="157" t="s">
        <v>3731</v>
      </c>
      <c r="H287" s="101" t="s">
        <v>3729</v>
      </c>
      <c r="I287" s="19"/>
      <c r="J287" s="10"/>
      <c r="K287" s="10" t="s">
        <v>83</v>
      </c>
      <c r="L287" s="19" t="s">
        <v>572</v>
      </c>
      <c r="M287" s="214">
        <v>2828000</v>
      </c>
      <c r="N287" s="214">
        <v>3110800</v>
      </c>
      <c r="O287" s="19"/>
      <c r="P287" s="22">
        <v>41361</v>
      </c>
      <c r="Q287" s="19"/>
      <c r="R287" s="165">
        <v>0.4</v>
      </c>
      <c r="S287" s="214">
        <f t="shared" si="27"/>
        <v>1088000</v>
      </c>
      <c r="T287" s="26"/>
      <c r="U287" s="220">
        <f t="shared" si="28"/>
        <v>1632000</v>
      </c>
      <c r="V287" s="220">
        <f t="shared" si="26"/>
        <v>544000</v>
      </c>
      <c r="W287" s="19" t="s">
        <v>3879</v>
      </c>
    </row>
    <row r="288" spans="1:23" ht="47.25" x14ac:dyDescent="0.25">
      <c r="A288" s="19">
        <v>279</v>
      </c>
      <c r="B288" s="22">
        <v>43920</v>
      </c>
      <c r="C288" s="233" t="s">
        <v>3734</v>
      </c>
      <c r="D288" s="233" t="s">
        <v>562</v>
      </c>
      <c r="E288" s="233" t="s">
        <v>3565</v>
      </c>
      <c r="F288" s="101" t="s">
        <v>3733</v>
      </c>
      <c r="G288" s="157" t="s">
        <v>3735</v>
      </c>
      <c r="H288" s="101" t="s">
        <v>3732</v>
      </c>
      <c r="I288" s="19"/>
      <c r="J288" s="10"/>
      <c r="K288" s="10" t="s">
        <v>1430</v>
      </c>
      <c r="L288" s="19" t="s">
        <v>572</v>
      </c>
      <c r="M288" s="364">
        <v>2643000</v>
      </c>
      <c r="N288" s="364">
        <v>2907300</v>
      </c>
      <c r="O288" s="19"/>
      <c r="P288" s="22">
        <v>41361</v>
      </c>
      <c r="Q288" s="19"/>
      <c r="R288" s="165">
        <v>0.4</v>
      </c>
      <c r="S288" s="214">
        <f t="shared" si="27"/>
        <v>1014000</v>
      </c>
      <c r="T288" s="26">
        <v>507300</v>
      </c>
      <c r="U288" s="220">
        <f t="shared" si="28"/>
        <v>1521000</v>
      </c>
      <c r="V288" s="220">
        <f t="shared" si="26"/>
        <v>507000</v>
      </c>
      <c r="W288" s="19" t="s">
        <v>783</v>
      </c>
    </row>
    <row r="289" spans="1:23" s="272" customFormat="1" ht="47.25" x14ac:dyDescent="0.25">
      <c r="A289" s="266">
        <v>280</v>
      </c>
      <c r="B289" s="373">
        <v>43920</v>
      </c>
      <c r="C289" s="334" t="s">
        <v>3736</v>
      </c>
      <c r="D289" s="334" t="s">
        <v>2163</v>
      </c>
      <c r="E289" s="334" t="s">
        <v>457</v>
      </c>
      <c r="F289" s="335" t="s">
        <v>3737</v>
      </c>
      <c r="G289" s="268" t="s">
        <v>3738</v>
      </c>
      <c r="H289" s="335" t="s">
        <v>2163</v>
      </c>
      <c r="I289" s="266"/>
      <c r="J289" s="269"/>
      <c r="K289" s="269" t="s">
        <v>83</v>
      </c>
      <c r="L289" s="266" t="s">
        <v>572</v>
      </c>
      <c r="M289" s="273">
        <v>2828000</v>
      </c>
      <c r="N289" s="273">
        <v>3110800</v>
      </c>
      <c r="O289" s="266"/>
      <c r="P289" s="373">
        <v>45015</v>
      </c>
      <c r="Q289" s="266"/>
      <c r="R289" s="271">
        <v>0.4</v>
      </c>
      <c r="S289" s="273">
        <f t="shared" si="27"/>
        <v>1088000</v>
      </c>
      <c r="T289" s="589">
        <f>N289-S289</f>
        <v>2022800</v>
      </c>
      <c r="U289" s="274">
        <f t="shared" si="28"/>
        <v>1632000</v>
      </c>
      <c r="V289" s="274">
        <f t="shared" si="26"/>
        <v>544000</v>
      </c>
      <c r="W289" s="266"/>
    </row>
    <row r="290" spans="1:23" s="272" customFormat="1" ht="47.25" x14ac:dyDescent="0.25">
      <c r="A290" s="266">
        <v>281</v>
      </c>
      <c r="B290" s="373">
        <v>43920</v>
      </c>
      <c r="C290" s="334" t="s">
        <v>3739</v>
      </c>
      <c r="D290" s="334" t="s">
        <v>562</v>
      </c>
      <c r="E290" s="334" t="s">
        <v>3646</v>
      </c>
      <c r="F290" s="335" t="s">
        <v>3740</v>
      </c>
      <c r="G290" s="268" t="s">
        <v>3741</v>
      </c>
      <c r="H290" s="335" t="s">
        <v>3742</v>
      </c>
      <c r="I290" s="266"/>
      <c r="J290" s="269"/>
      <c r="K290" s="269" t="s">
        <v>94</v>
      </c>
      <c r="L290" s="266" t="s">
        <v>777</v>
      </c>
      <c r="M290" s="270">
        <v>1061000</v>
      </c>
      <c r="N290" s="273">
        <v>1277100</v>
      </c>
      <c r="O290" s="266"/>
      <c r="P290" s="373">
        <v>44285</v>
      </c>
      <c r="Q290" s="266"/>
      <c r="R290" s="271">
        <v>0.4</v>
      </c>
      <c r="S290" s="273">
        <f t="shared" si="27"/>
        <v>381200</v>
      </c>
      <c r="T290" s="589">
        <v>177100</v>
      </c>
      <c r="U290" s="274">
        <f t="shared" si="28"/>
        <v>571800</v>
      </c>
      <c r="V290" s="274">
        <f t="shared" si="26"/>
        <v>190600</v>
      </c>
      <c r="W290" s="266"/>
    </row>
    <row r="291" spans="1:23" s="272" customFormat="1" ht="47.25" x14ac:dyDescent="0.25">
      <c r="A291" s="266">
        <v>282</v>
      </c>
      <c r="B291" s="373">
        <v>43928</v>
      </c>
      <c r="C291" s="334" t="s">
        <v>3755</v>
      </c>
      <c r="D291" s="334" t="s">
        <v>479</v>
      </c>
      <c r="E291" s="334" t="s">
        <v>3565</v>
      </c>
      <c r="F291" s="335" t="s">
        <v>3756</v>
      </c>
      <c r="G291" s="268" t="s">
        <v>3757</v>
      </c>
      <c r="H291" s="335" t="s">
        <v>461</v>
      </c>
      <c r="I291" s="266"/>
      <c r="J291" s="269"/>
      <c r="K291" s="269" t="s">
        <v>83</v>
      </c>
      <c r="L291" s="266" t="s">
        <v>572</v>
      </c>
      <c r="M291" s="273">
        <v>2828000</v>
      </c>
      <c r="N291" s="273">
        <v>3110800</v>
      </c>
      <c r="O291" s="266"/>
      <c r="P291" s="373">
        <v>45015</v>
      </c>
      <c r="Q291" s="266"/>
      <c r="R291" s="271">
        <v>0.4</v>
      </c>
      <c r="S291" s="273">
        <f t="shared" si="27"/>
        <v>1088000</v>
      </c>
      <c r="T291" s="589"/>
      <c r="U291" s="274">
        <f t="shared" si="28"/>
        <v>1632000</v>
      </c>
      <c r="V291" s="274">
        <f t="shared" si="26"/>
        <v>544000</v>
      </c>
      <c r="W291" s="266"/>
    </row>
    <row r="292" spans="1:23" ht="47.25" x14ac:dyDescent="0.25">
      <c r="A292" s="19">
        <v>283</v>
      </c>
      <c r="B292" s="22">
        <v>43931</v>
      </c>
      <c r="C292" s="233" t="s">
        <v>3775</v>
      </c>
      <c r="D292" s="233" t="s">
        <v>3776</v>
      </c>
      <c r="E292" s="233" t="s">
        <v>3565</v>
      </c>
      <c r="F292" s="101" t="s">
        <v>3777</v>
      </c>
      <c r="G292" s="157" t="s">
        <v>3778</v>
      </c>
      <c r="H292" s="101" t="s">
        <v>2078</v>
      </c>
      <c r="I292" s="19"/>
      <c r="J292" s="10"/>
      <c r="K292" s="10" t="s">
        <v>1430</v>
      </c>
      <c r="L292" s="19" t="s">
        <v>572</v>
      </c>
      <c r="M292" s="364">
        <v>2643000</v>
      </c>
      <c r="N292" s="364">
        <v>2907300</v>
      </c>
      <c r="O292" s="19"/>
      <c r="P292" s="22">
        <v>41361</v>
      </c>
      <c r="Q292" s="19"/>
      <c r="R292" s="165">
        <v>0.4</v>
      </c>
      <c r="S292" s="214">
        <f>N292-2300000</f>
        <v>607300</v>
      </c>
      <c r="T292" s="26"/>
      <c r="U292" s="220">
        <f t="shared" si="28"/>
        <v>1521000</v>
      </c>
      <c r="V292" s="220">
        <f t="shared" si="26"/>
        <v>913700</v>
      </c>
      <c r="W292" s="19" t="s">
        <v>3799</v>
      </c>
    </row>
    <row r="293" spans="1:23" ht="47.25" x14ac:dyDescent="0.25">
      <c r="A293" s="19">
        <v>284</v>
      </c>
      <c r="B293" s="22">
        <v>43936</v>
      </c>
      <c r="C293" s="233" t="s">
        <v>3806</v>
      </c>
      <c r="D293" s="233"/>
      <c r="E293" s="233" t="s">
        <v>3646</v>
      </c>
      <c r="F293" s="101" t="s">
        <v>3807</v>
      </c>
      <c r="G293" s="157" t="s">
        <v>3808</v>
      </c>
      <c r="H293" s="101" t="s">
        <v>3809</v>
      </c>
      <c r="I293" s="381" t="s">
        <v>3810</v>
      </c>
      <c r="J293" s="10"/>
      <c r="K293" s="10" t="s">
        <v>1430</v>
      </c>
      <c r="L293" s="19" t="s">
        <v>572</v>
      </c>
      <c r="M293" s="364">
        <v>2643000</v>
      </c>
      <c r="N293" s="364">
        <v>2907300</v>
      </c>
      <c r="O293" s="19"/>
      <c r="P293" s="22">
        <v>45031</v>
      </c>
      <c r="Q293" s="19"/>
      <c r="R293" s="19"/>
      <c r="S293" s="214">
        <v>707300</v>
      </c>
      <c r="T293" s="26"/>
      <c r="U293" s="220">
        <f t="shared" si="28"/>
        <v>1521000</v>
      </c>
      <c r="V293" s="220">
        <f t="shared" si="26"/>
        <v>813700</v>
      </c>
      <c r="W293" s="19" t="s">
        <v>3844</v>
      </c>
    </row>
    <row r="294" spans="1:23" ht="47.25" x14ac:dyDescent="0.25">
      <c r="A294" s="19">
        <v>285</v>
      </c>
      <c r="B294" s="22">
        <v>43937</v>
      </c>
      <c r="C294" s="233" t="s">
        <v>3811</v>
      </c>
      <c r="D294" s="233" t="s">
        <v>457</v>
      </c>
      <c r="E294" s="233"/>
      <c r="F294" s="101" t="s">
        <v>3812</v>
      </c>
      <c r="G294" s="157" t="s">
        <v>3813</v>
      </c>
      <c r="H294" s="101"/>
      <c r="I294" s="19"/>
      <c r="J294" s="10"/>
      <c r="K294" s="10" t="s">
        <v>180</v>
      </c>
      <c r="L294" s="19" t="s">
        <v>572</v>
      </c>
      <c r="M294" s="214">
        <v>2828000</v>
      </c>
      <c r="N294" s="214">
        <v>3110800</v>
      </c>
      <c r="O294" s="19"/>
      <c r="P294" s="22">
        <v>45015</v>
      </c>
      <c r="Q294" s="19"/>
      <c r="R294" s="165">
        <v>0.4</v>
      </c>
      <c r="S294" s="214">
        <f>(M294-3000*36)*40%</f>
        <v>1088000</v>
      </c>
      <c r="T294" s="26"/>
      <c r="U294" s="220">
        <f t="shared" si="28"/>
        <v>1632000</v>
      </c>
      <c r="V294" s="220">
        <f t="shared" si="26"/>
        <v>544000</v>
      </c>
      <c r="W294" s="19" t="s">
        <v>3814</v>
      </c>
    </row>
    <row r="295" spans="1:23" ht="47.25" x14ac:dyDescent="0.25">
      <c r="A295" s="19">
        <v>286</v>
      </c>
      <c r="B295" s="22">
        <v>43941</v>
      </c>
      <c r="C295" s="233" t="s">
        <v>3846</v>
      </c>
      <c r="D295" s="233"/>
      <c r="E295" s="233" t="s">
        <v>3646</v>
      </c>
      <c r="F295" s="101" t="s">
        <v>3847</v>
      </c>
      <c r="G295" s="157" t="s">
        <v>3848</v>
      </c>
      <c r="H295" s="101" t="s">
        <v>3849</v>
      </c>
      <c r="I295" s="19"/>
      <c r="J295" s="10"/>
      <c r="K295" s="10" t="s">
        <v>94</v>
      </c>
      <c r="L295" s="19" t="s">
        <v>777</v>
      </c>
      <c r="M295" s="11">
        <v>1061000</v>
      </c>
      <c r="N295" s="214">
        <v>1277100</v>
      </c>
      <c r="O295" s="19"/>
      <c r="P295" s="22">
        <v>44306</v>
      </c>
      <c r="Q295" s="19"/>
      <c r="R295" s="19"/>
      <c r="S295" s="214"/>
      <c r="T295" s="26"/>
      <c r="U295" s="220">
        <f t="shared" si="28"/>
        <v>571800</v>
      </c>
      <c r="V295" s="220">
        <f t="shared" si="26"/>
        <v>571800</v>
      </c>
      <c r="W295" s="19" t="s">
        <v>3853</v>
      </c>
    </row>
    <row r="296" spans="1:23" ht="47.25" x14ac:dyDescent="0.25">
      <c r="A296" s="19">
        <v>287</v>
      </c>
      <c r="B296" s="22">
        <v>43942</v>
      </c>
      <c r="C296" s="233" t="s">
        <v>3855</v>
      </c>
      <c r="D296" s="233" t="s">
        <v>457</v>
      </c>
      <c r="E296" s="233"/>
      <c r="F296" s="101" t="s">
        <v>3856</v>
      </c>
      <c r="G296" s="157" t="s">
        <v>3857</v>
      </c>
      <c r="H296" s="101"/>
      <c r="I296" s="19"/>
      <c r="J296" s="10"/>
      <c r="K296" s="10" t="s">
        <v>1430</v>
      </c>
      <c r="L296" s="19" t="s">
        <v>572</v>
      </c>
      <c r="M296" s="364">
        <v>2643000</v>
      </c>
      <c r="N296" s="364">
        <v>2907300</v>
      </c>
      <c r="O296" s="19"/>
      <c r="P296" s="22">
        <v>45031</v>
      </c>
      <c r="Q296" s="19"/>
      <c r="R296" s="165">
        <v>0.4</v>
      </c>
      <c r="S296" s="214">
        <f>(M296-3000*36)*40%</f>
        <v>1014000</v>
      </c>
      <c r="T296" s="26">
        <v>500000</v>
      </c>
      <c r="U296" s="220">
        <f t="shared" si="28"/>
        <v>1521000</v>
      </c>
      <c r="V296" s="220">
        <f t="shared" si="26"/>
        <v>507000</v>
      </c>
      <c r="W296" s="19" t="s">
        <v>4088</v>
      </c>
    </row>
    <row r="297" spans="1:23" ht="47.25" x14ac:dyDescent="0.25">
      <c r="A297" s="19">
        <v>288</v>
      </c>
      <c r="B297" s="22">
        <v>43942</v>
      </c>
      <c r="C297" s="233" t="s">
        <v>3858</v>
      </c>
      <c r="D297" s="233" t="s">
        <v>309</v>
      </c>
      <c r="E297" s="233" t="s">
        <v>2327</v>
      </c>
      <c r="F297" s="101" t="s">
        <v>3859</v>
      </c>
      <c r="G297" s="157" t="s">
        <v>3860</v>
      </c>
      <c r="H297" s="101" t="s">
        <v>3861</v>
      </c>
      <c r="I297" s="19"/>
      <c r="J297" s="10"/>
      <c r="K297" s="10" t="s">
        <v>180</v>
      </c>
      <c r="L297" s="19" t="s">
        <v>777</v>
      </c>
      <c r="M297" s="214">
        <v>1161000</v>
      </c>
      <c r="N297" s="214">
        <v>1827100</v>
      </c>
      <c r="O297" s="19"/>
      <c r="P297" s="19"/>
      <c r="Q297" s="19"/>
      <c r="R297" s="19"/>
      <c r="S297" s="214"/>
      <c r="T297" s="26"/>
      <c r="U297" s="220">
        <f>(M297-3000*12)*0.6</f>
        <v>675000</v>
      </c>
      <c r="V297" s="220">
        <f t="shared" si="26"/>
        <v>675000</v>
      </c>
      <c r="W297" s="19" t="s">
        <v>3862</v>
      </c>
    </row>
    <row r="298" spans="1:23" ht="65.25" customHeight="1" x14ac:dyDescent="0.25">
      <c r="A298" s="19">
        <v>289</v>
      </c>
      <c r="B298" s="22">
        <v>43943</v>
      </c>
      <c r="C298" s="233" t="s">
        <v>3863</v>
      </c>
      <c r="D298" s="233" t="s">
        <v>1110</v>
      </c>
      <c r="E298" s="233" t="s">
        <v>3646</v>
      </c>
      <c r="F298" s="101" t="s">
        <v>3864</v>
      </c>
      <c r="G298" s="157" t="s">
        <v>3865</v>
      </c>
      <c r="H298" s="101"/>
      <c r="I298" s="19"/>
      <c r="J298" s="10"/>
      <c r="K298" s="10" t="s">
        <v>180</v>
      </c>
      <c r="L298" s="19" t="s">
        <v>777</v>
      </c>
      <c r="M298" s="214">
        <v>1161000</v>
      </c>
      <c r="N298" s="214">
        <v>1827100</v>
      </c>
      <c r="O298" s="266"/>
      <c r="P298" s="22">
        <v>44308</v>
      </c>
      <c r="Q298" s="266"/>
      <c r="R298" s="165">
        <v>0.45</v>
      </c>
      <c r="S298" s="214">
        <f>M298*45%</f>
        <v>522450</v>
      </c>
      <c r="T298" s="26"/>
      <c r="U298" s="220">
        <f>(M298-3000*12)*0.6</f>
        <v>675000</v>
      </c>
      <c r="V298" s="220">
        <f t="shared" si="26"/>
        <v>152550</v>
      </c>
      <c r="W298" s="19" t="s">
        <v>4149</v>
      </c>
    </row>
    <row r="299" spans="1:23" ht="47.25" x14ac:dyDescent="0.25">
      <c r="A299" s="19">
        <v>290</v>
      </c>
      <c r="B299" s="22">
        <v>43944</v>
      </c>
      <c r="C299" s="233" t="s">
        <v>3867</v>
      </c>
      <c r="D299" s="233" t="s">
        <v>1260</v>
      </c>
      <c r="E299" s="233" t="s">
        <v>3565</v>
      </c>
      <c r="F299" s="101" t="s">
        <v>3866</v>
      </c>
      <c r="G299" s="157" t="s">
        <v>3868</v>
      </c>
      <c r="H299" s="101" t="s">
        <v>3869</v>
      </c>
      <c r="I299" s="19"/>
      <c r="J299" s="10"/>
      <c r="K299" s="10" t="s">
        <v>180</v>
      </c>
      <c r="L299" s="19" t="s">
        <v>777</v>
      </c>
      <c r="M299" s="214">
        <v>1161000</v>
      </c>
      <c r="N299" s="214">
        <v>1827100</v>
      </c>
      <c r="O299" s="19"/>
      <c r="P299" s="22">
        <v>44309</v>
      </c>
      <c r="Q299" s="19"/>
      <c r="R299" s="165">
        <v>0.4</v>
      </c>
      <c r="S299" s="214">
        <f>(M299-3000*12)*40%</f>
        <v>450000</v>
      </c>
      <c r="T299" s="26"/>
      <c r="U299" s="220">
        <f>(M299-3000*12)*0.6</f>
        <v>675000</v>
      </c>
      <c r="V299" s="220">
        <f t="shared" si="26"/>
        <v>225000</v>
      </c>
      <c r="W299" s="19" t="s">
        <v>3914</v>
      </c>
    </row>
    <row r="300" spans="1:23" ht="31.5" x14ac:dyDescent="0.25">
      <c r="A300" s="19">
        <v>291</v>
      </c>
      <c r="B300" s="22">
        <v>43944</v>
      </c>
      <c r="C300" s="233" t="s">
        <v>3870</v>
      </c>
      <c r="D300" s="233" t="s">
        <v>562</v>
      </c>
      <c r="E300" s="233" t="s">
        <v>457</v>
      </c>
      <c r="F300" s="101" t="s">
        <v>3871</v>
      </c>
      <c r="G300" s="157" t="s">
        <v>3872</v>
      </c>
      <c r="H300" s="101" t="s">
        <v>3873</v>
      </c>
      <c r="I300" s="19"/>
      <c r="J300" s="10"/>
      <c r="K300" s="10" t="s">
        <v>94</v>
      </c>
      <c r="L300" s="19" t="s">
        <v>777</v>
      </c>
      <c r="M300" s="11">
        <v>1061000</v>
      </c>
      <c r="N300" s="214">
        <v>1277100</v>
      </c>
      <c r="O300" s="19"/>
      <c r="P300" s="22">
        <v>44309</v>
      </c>
      <c r="Q300" s="19"/>
      <c r="R300" s="165">
        <v>0.4</v>
      </c>
      <c r="S300" s="214">
        <f>(M300-3000*12)*40%</f>
        <v>410000</v>
      </c>
      <c r="T300" s="26">
        <v>177000</v>
      </c>
      <c r="U300" s="220">
        <f>(M300-3000*12)*0.6</f>
        <v>615000</v>
      </c>
      <c r="V300" s="220">
        <f t="shared" si="26"/>
        <v>205000</v>
      </c>
      <c r="W300" s="19" t="s">
        <v>4089</v>
      </c>
    </row>
    <row r="301" spans="1:23" s="272" customFormat="1" ht="47.25" x14ac:dyDescent="0.25">
      <c r="A301" s="266">
        <v>292</v>
      </c>
      <c r="B301" s="373">
        <v>43944</v>
      </c>
      <c r="C301" s="334" t="s">
        <v>3875</v>
      </c>
      <c r="D301" s="334" t="s">
        <v>309</v>
      </c>
      <c r="E301" s="334" t="s">
        <v>3646</v>
      </c>
      <c r="F301" s="335" t="s">
        <v>3874</v>
      </c>
      <c r="G301" s="268" t="s">
        <v>3876</v>
      </c>
      <c r="H301" s="335"/>
      <c r="I301" s="266"/>
      <c r="J301" s="269"/>
      <c r="K301" s="269" t="s">
        <v>180</v>
      </c>
      <c r="L301" s="266" t="s">
        <v>572</v>
      </c>
      <c r="M301" s="273">
        <v>2828000</v>
      </c>
      <c r="N301" s="273">
        <v>3110800</v>
      </c>
      <c r="O301" s="266"/>
      <c r="P301" s="373">
        <v>45015</v>
      </c>
      <c r="Q301" s="266"/>
      <c r="R301" s="266"/>
      <c r="S301" s="273">
        <v>1110800</v>
      </c>
      <c r="T301" s="589"/>
      <c r="U301" s="274">
        <f>(M301-3000*36)*0.6</f>
        <v>1632000</v>
      </c>
      <c r="V301" s="274">
        <f t="shared" si="26"/>
        <v>521200</v>
      </c>
      <c r="W301" s="266"/>
    </row>
    <row r="302" spans="1:23" ht="63" x14ac:dyDescent="0.25">
      <c r="A302" s="19">
        <v>293</v>
      </c>
      <c r="B302" s="22">
        <v>43946</v>
      </c>
      <c r="C302" s="233" t="s">
        <v>3916</v>
      </c>
      <c r="D302" s="233"/>
      <c r="E302" s="233" t="s">
        <v>3646</v>
      </c>
      <c r="F302" s="101" t="s">
        <v>3915</v>
      </c>
      <c r="G302" s="157" t="s">
        <v>3917</v>
      </c>
      <c r="H302" s="101" t="s">
        <v>3918</v>
      </c>
      <c r="I302" s="19"/>
      <c r="J302" s="10"/>
      <c r="K302" s="10" t="s">
        <v>180</v>
      </c>
      <c r="L302" s="19" t="s">
        <v>777</v>
      </c>
      <c r="M302" s="214">
        <v>1161000</v>
      </c>
      <c r="N302" s="214">
        <v>1827100</v>
      </c>
      <c r="O302" s="19"/>
      <c r="P302" s="22">
        <v>44311</v>
      </c>
      <c r="Q302" s="19"/>
      <c r="R302" s="19"/>
      <c r="S302" s="273"/>
      <c r="T302" s="26"/>
      <c r="U302" s="220">
        <f>(M302-3000*12)*0.6</f>
        <v>675000</v>
      </c>
      <c r="V302" s="220">
        <f t="shared" si="26"/>
        <v>675000</v>
      </c>
      <c r="W302" s="19" t="s">
        <v>3919</v>
      </c>
    </row>
    <row r="303" spans="1:23" ht="63" x14ac:dyDescent="0.25">
      <c r="A303" s="19">
        <v>294</v>
      </c>
      <c r="B303" s="22">
        <v>43950</v>
      </c>
      <c r="C303" s="233" t="s">
        <v>3922</v>
      </c>
      <c r="D303" s="233" t="s">
        <v>3921</v>
      </c>
      <c r="E303" s="233" t="s">
        <v>3565</v>
      </c>
      <c r="F303" s="101" t="s">
        <v>3920</v>
      </c>
      <c r="G303" s="157" t="s">
        <v>3923</v>
      </c>
      <c r="H303" s="101" t="s">
        <v>3924</v>
      </c>
      <c r="I303" s="381" t="s">
        <v>3925</v>
      </c>
      <c r="J303" s="10"/>
      <c r="K303" s="10" t="s">
        <v>180</v>
      </c>
      <c r="L303" s="19" t="s">
        <v>572</v>
      </c>
      <c r="M303" s="214">
        <v>2828000</v>
      </c>
      <c r="N303" s="214">
        <v>3110800</v>
      </c>
      <c r="O303" s="19"/>
      <c r="P303" s="22">
        <v>45045</v>
      </c>
      <c r="Q303" s="19"/>
      <c r="R303" s="165">
        <v>0.3</v>
      </c>
      <c r="S303" s="214">
        <f>(M303-3000*36)*30%</f>
        <v>816000</v>
      </c>
      <c r="T303" s="26"/>
      <c r="U303" s="220">
        <f t="shared" ref="U303:U312" si="29">(M303-3000*36)*0.6</f>
        <v>1632000</v>
      </c>
      <c r="V303" s="220">
        <f t="shared" si="26"/>
        <v>816000</v>
      </c>
      <c r="W303" s="19" t="s">
        <v>1746</v>
      </c>
    </row>
    <row r="304" spans="1:23" ht="47.25" x14ac:dyDescent="0.25">
      <c r="A304" s="19">
        <v>295</v>
      </c>
      <c r="B304" s="22">
        <v>43950</v>
      </c>
      <c r="C304" s="233" t="s">
        <v>3927</v>
      </c>
      <c r="D304" s="233" t="s">
        <v>562</v>
      </c>
      <c r="E304" s="233" t="s">
        <v>3646</v>
      </c>
      <c r="F304" s="101" t="s">
        <v>3926</v>
      </c>
      <c r="G304" s="157" t="s">
        <v>3928</v>
      </c>
      <c r="H304" s="101" t="s">
        <v>3929</v>
      </c>
      <c r="I304" s="381" t="s">
        <v>3930</v>
      </c>
      <c r="J304" s="10"/>
      <c r="K304" s="10" t="s">
        <v>1430</v>
      </c>
      <c r="L304" s="19" t="s">
        <v>572</v>
      </c>
      <c r="M304" s="364">
        <v>2643000</v>
      </c>
      <c r="N304" s="364">
        <v>2907300</v>
      </c>
      <c r="O304" s="19"/>
      <c r="P304" s="22">
        <v>45045</v>
      </c>
      <c r="Q304" s="19"/>
      <c r="R304" s="165">
        <v>0.4</v>
      </c>
      <c r="S304" s="214">
        <f>(M304-3000*36)*40%</f>
        <v>1014000</v>
      </c>
      <c r="T304" s="26">
        <v>507300</v>
      </c>
      <c r="U304" s="220">
        <f t="shared" si="29"/>
        <v>1521000</v>
      </c>
      <c r="V304" s="220">
        <f t="shared" si="26"/>
        <v>507000</v>
      </c>
      <c r="W304" s="19" t="s">
        <v>4033</v>
      </c>
    </row>
    <row r="305" spans="1:23" s="272" customFormat="1" ht="47.25" x14ac:dyDescent="0.25">
      <c r="A305" s="266">
        <v>296</v>
      </c>
      <c r="B305" s="373">
        <v>43956</v>
      </c>
      <c r="C305" s="334" t="s">
        <v>3933</v>
      </c>
      <c r="D305" s="334" t="s">
        <v>457</v>
      </c>
      <c r="E305" s="334"/>
      <c r="F305" s="335" t="s">
        <v>3932</v>
      </c>
      <c r="G305" s="268" t="s">
        <v>3934</v>
      </c>
      <c r="H305" s="335"/>
      <c r="I305" s="266"/>
      <c r="J305" s="269"/>
      <c r="K305" s="269" t="s">
        <v>180</v>
      </c>
      <c r="L305" s="266" t="s">
        <v>572</v>
      </c>
      <c r="M305" s="273">
        <v>2828000</v>
      </c>
      <c r="N305" s="273">
        <v>3110800</v>
      </c>
      <c r="O305" s="266"/>
      <c r="P305" s="373">
        <v>45051</v>
      </c>
      <c r="Q305" s="266"/>
      <c r="R305" s="271">
        <v>0.4</v>
      </c>
      <c r="S305" s="273">
        <f>(M305-3000*36)*40%</f>
        <v>1088000</v>
      </c>
      <c r="T305" s="589"/>
      <c r="U305" s="274">
        <f t="shared" si="29"/>
        <v>1632000</v>
      </c>
      <c r="V305" s="274">
        <f t="shared" si="26"/>
        <v>544000</v>
      </c>
      <c r="W305" s="266"/>
    </row>
    <row r="306" spans="1:23" s="272" customFormat="1" ht="47.25" x14ac:dyDescent="0.25">
      <c r="A306" s="266">
        <v>297</v>
      </c>
      <c r="B306" s="373">
        <v>43956</v>
      </c>
      <c r="C306" s="334" t="s">
        <v>3936</v>
      </c>
      <c r="D306" s="334" t="s">
        <v>2163</v>
      </c>
      <c r="E306" s="334"/>
      <c r="F306" s="335" t="s">
        <v>3935</v>
      </c>
      <c r="G306" s="268" t="s">
        <v>3937</v>
      </c>
      <c r="H306" s="335"/>
      <c r="I306" s="266"/>
      <c r="J306" s="269"/>
      <c r="K306" s="269" t="s">
        <v>180</v>
      </c>
      <c r="L306" s="266" t="s">
        <v>777</v>
      </c>
      <c r="M306" s="273">
        <v>1161000</v>
      </c>
      <c r="N306" s="273">
        <v>1827100</v>
      </c>
      <c r="O306" s="266"/>
      <c r="P306" s="373">
        <v>44321</v>
      </c>
      <c r="Q306" s="266"/>
      <c r="R306" s="271">
        <v>0.4</v>
      </c>
      <c r="S306" s="273">
        <f>(M306-3000*36)*40%</f>
        <v>421200</v>
      </c>
      <c r="T306" s="589"/>
      <c r="U306" s="274">
        <f t="shared" si="29"/>
        <v>631800</v>
      </c>
      <c r="V306" s="274">
        <f t="shared" si="26"/>
        <v>210600</v>
      </c>
      <c r="W306" s="266"/>
    </row>
    <row r="307" spans="1:23" ht="47.25" x14ac:dyDescent="0.25">
      <c r="A307" s="19">
        <v>298</v>
      </c>
      <c r="B307" s="22">
        <v>43958</v>
      </c>
      <c r="C307" s="233" t="s">
        <v>865</v>
      </c>
      <c r="D307" s="233"/>
      <c r="E307" s="233" t="s">
        <v>3646</v>
      </c>
      <c r="F307" s="101" t="s">
        <v>867</v>
      </c>
      <c r="G307" s="157" t="s">
        <v>3765</v>
      </c>
      <c r="H307" s="101" t="s">
        <v>3938</v>
      </c>
      <c r="I307" s="19"/>
      <c r="J307" s="10"/>
      <c r="K307" s="10" t="s">
        <v>94</v>
      </c>
      <c r="L307" s="19" t="s">
        <v>756</v>
      </c>
      <c r="M307" s="214">
        <v>1992000</v>
      </c>
      <c r="N307" s="214">
        <v>2191200</v>
      </c>
      <c r="O307" s="19"/>
      <c r="P307" s="22">
        <v>44688</v>
      </c>
      <c r="Q307" s="19"/>
      <c r="R307" s="19"/>
      <c r="S307" s="214">
        <f>N307-1800000</f>
        <v>391200</v>
      </c>
      <c r="T307" s="26"/>
      <c r="U307" s="220">
        <f t="shared" si="29"/>
        <v>1130400</v>
      </c>
      <c r="V307" s="220">
        <f t="shared" si="26"/>
        <v>739200</v>
      </c>
      <c r="W307" s="19" t="s">
        <v>3939</v>
      </c>
    </row>
    <row r="308" spans="1:23" ht="31.5" x14ac:dyDescent="0.25">
      <c r="A308" s="19">
        <v>299</v>
      </c>
      <c r="B308" s="22">
        <v>43962</v>
      </c>
      <c r="C308" s="233" t="s">
        <v>4035</v>
      </c>
      <c r="D308" s="233" t="s">
        <v>4036</v>
      </c>
      <c r="E308" s="233" t="s">
        <v>3646</v>
      </c>
      <c r="F308" s="101" t="s">
        <v>4034</v>
      </c>
      <c r="G308" s="157" t="s">
        <v>4037</v>
      </c>
      <c r="H308" s="101"/>
      <c r="I308" s="152" t="s">
        <v>4291</v>
      </c>
      <c r="J308" s="10"/>
      <c r="K308" s="10" t="s">
        <v>180</v>
      </c>
      <c r="L308" s="19" t="s">
        <v>572</v>
      </c>
      <c r="M308" s="214">
        <v>2828000</v>
      </c>
      <c r="N308" s="214">
        <v>3110800</v>
      </c>
      <c r="O308" s="19"/>
      <c r="P308" s="22">
        <v>45057</v>
      </c>
      <c r="Q308" s="19"/>
      <c r="R308" s="165">
        <v>0.4</v>
      </c>
      <c r="S308" s="214">
        <f>(M308-3000*36)*40%</f>
        <v>1088000</v>
      </c>
      <c r="T308" s="26"/>
      <c r="U308" s="220">
        <f t="shared" si="29"/>
        <v>1632000</v>
      </c>
      <c r="V308" s="220">
        <f t="shared" si="26"/>
        <v>544000</v>
      </c>
      <c r="W308" s="19" t="s">
        <v>4197</v>
      </c>
    </row>
    <row r="309" spans="1:23" ht="63" x14ac:dyDescent="0.25">
      <c r="A309" s="19">
        <v>300</v>
      </c>
      <c r="B309" s="22">
        <v>43962</v>
      </c>
      <c r="C309" s="233" t="s">
        <v>4038</v>
      </c>
      <c r="D309" s="233" t="s">
        <v>457</v>
      </c>
      <c r="E309" s="233"/>
      <c r="F309" s="101" t="s">
        <v>883</v>
      </c>
      <c r="G309" s="157" t="s">
        <v>4039</v>
      </c>
      <c r="H309" s="101"/>
      <c r="I309" s="19"/>
      <c r="J309" s="10"/>
      <c r="K309" s="10" t="s">
        <v>94</v>
      </c>
      <c r="L309" s="19" t="s">
        <v>777</v>
      </c>
      <c r="M309" s="11">
        <v>1061000</v>
      </c>
      <c r="N309" s="214">
        <v>1277100</v>
      </c>
      <c r="O309" s="19"/>
      <c r="P309" s="22">
        <v>44309</v>
      </c>
      <c r="Q309" s="19"/>
      <c r="R309" s="165">
        <v>0.4</v>
      </c>
      <c r="S309" s="214">
        <f>(M309-3000*36)*40%</f>
        <v>381200</v>
      </c>
      <c r="T309" s="26">
        <v>177100</v>
      </c>
      <c r="U309" s="220">
        <f t="shared" si="29"/>
        <v>571800</v>
      </c>
      <c r="V309" s="220">
        <f t="shared" si="26"/>
        <v>190600</v>
      </c>
      <c r="W309" s="19" t="s">
        <v>1746</v>
      </c>
    </row>
    <row r="310" spans="1:23" ht="47.25" x14ac:dyDescent="0.25">
      <c r="A310" s="19">
        <v>301</v>
      </c>
      <c r="B310" s="22">
        <v>43965</v>
      </c>
      <c r="C310" s="233" t="s">
        <v>3140</v>
      </c>
      <c r="D310" s="233" t="s">
        <v>510</v>
      </c>
      <c r="E310" s="233" t="s">
        <v>457</v>
      </c>
      <c r="F310" s="101" t="s">
        <v>3139</v>
      </c>
      <c r="G310" s="157" t="s">
        <v>3141</v>
      </c>
      <c r="H310" s="101"/>
      <c r="I310" s="19"/>
      <c r="J310" s="10"/>
      <c r="K310" s="10" t="s">
        <v>180</v>
      </c>
      <c r="L310" s="19" t="s">
        <v>572</v>
      </c>
      <c r="M310" s="214">
        <v>2828000</v>
      </c>
      <c r="N310" s="214">
        <v>3110800</v>
      </c>
      <c r="O310" s="19"/>
      <c r="P310" s="22">
        <v>45060</v>
      </c>
      <c r="Q310" s="19"/>
      <c r="R310" s="165">
        <v>0.3</v>
      </c>
      <c r="S310" s="214">
        <f>(M310-3000*36)*30%</f>
        <v>816000</v>
      </c>
      <c r="T310" s="26"/>
      <c r="U310" s="220">
        <f t="shared" si="29"/>
        <v>1632000</v>
      </c>
      <c r="V310" s="220">
        <f t="shared" si="26"/>
        <v>816000</v>
      </c>
      <c r="W310" s="19" t="s">
        <v>4148</v>
      </c>
    </row>
    <row r="311" spans="1:23" ht="63" x14ac:dyDescent="0.25">
      <c r="A311" s="19">
        <v>302</v>
      </c>
      <c r="B311" s="22">
        <v>43965</v>
      </c>
      <c r="C311" s="233" t="s">
        <v>4031</v>
      </c>
      <c r="D311" s="233" t="s">
        <v>510</v>
      </c>
      <c r="E311" s="233" t="s">
        <v>457</v>
      </c>
      <c r="F311" s="101" t="s">
        <v>198</v>
      </c>
      <c r="G311" s="157" t="s">
        <v>4032</v>
      </c>
      <c r="H311" s="101"/>
      <c r="I311" s="19"/>
      <c r="J311" s="10"/>
      <c r="K311" s="10" t="s">
        <v>180</v>
      </c>
      <c r="L311" s="19" t="s">
        <v>572</v>
      </c>
      <c r="M311" s="214">
        <v>2828000</v>
      </c>
      <c r="N311" s="214">
        <v>3110800</v>
      </c>
      <c r="O311" s="19"/>
      <c r="P311" s="22">
        <v>45060</v>
      </c>
      <c r="Q311" s="19"/>
      <c r="R311" s="165">
        <v>0.3</v>
      </c>
      <c r="S311" s="214">
        <f>(M311-3000*36)*30%</f>
        <v>816000</v>
      </c>
      <c r="T311" s="26"/>
      <c r="U311" s="220">
        <f t="shared" si="29"/>
        <v>1632000</v>
      </c>
      <c r="V311" s="220">
        <f t="shared" si="26"/>
        <v>816000</v>
      </c>
      <c r="W311" s="19" t="s">
        <v>4147</v>
      </c>
    </row>
    <row r="312" spans="1:23" s="272" customFormat="1" ht="31.5" x14ac:dyDescent="0.25">
      <c r="A312" s="266">
        <v>303</v>
      </c>
      <c r="B312" s="373">
        <v>43965</v>
      </c>
      <c r="C312" s="334" t="s">
        <v>4040</v>
      </c>
      <c r="D312" s="334" t="s">
        <v>3622</v>
      </c>
      <c r="E312" s="334"/>
      <c r="F312" s="335" t="s">
        <v>4042</v>
      </c>
      <c r="G312" s="268" t="s">
        <v>4041</v>
      </c>
      <c r="H312" s="335"/>
      <c r="I312" s="266"/>
      <c r="J312" s="269"/>
      <c r="K312" s="269" t="s">
        <v>180</v>
      </c>
      <c r="L312" s="266" t="s">
        <v>572</v>
      </c>
      <c r="M312" s="273">
        <v>2828000</v>
      </c>
      <c r="N312" s="273">
        <v>3110800</v>
      </c>
      <c r="O312" s="266"/>
      <c r="P312" s="373">
        <v>45060</v>
      </c>
      <c r="Q312" s="266"/>
      <c r="R312" s="271">
        <v>0.4</v>
      </c>
      <c r="S312" s="273">
        <f>(M312-3000*36)*40%</f>
        <v>1088000</v>
      </c>
      <c r="T312" s="589"/>
      <c r="U312" s="274">
        <f t="shared" si="29"/>
        <v>1632000</v>
      </c>
      <c r="V312" s="274">
        <f t="shared" si="26"/>
        <v>544000</v>
      </c>
      <c r="W312" s="266"/>
    </row>
    <row r="313" spans="1:23" x14ac:dyDescent="0.25">
      <c r="A313" s="19">
        <v>304</v>
      </c>
      <c r="B313" s="22">
        <v>43965</v>
      </c>
      <c r="C313" s="233" t="s">
        <v>4044</v>
      </c>
      <c r="D313" s="233"/>
      <c r="E313" s="233"/>
      <c r="F313" s="101" t="s">
        <v>4043</v>
      </c>
      <c r="G313" s="157"/>
      <c r="H313" s="101" t="s">
        <v>3684</v>
      </c>
      <c r="I313" s="19"/>
      <c r="J313" s="10"/>
      <c r="K313" s="10" t="s">
        <v>83</v>
      </c>
      <c r="L313" s="19" t="s">
        <v>572</v>
      </c>
      <c r="M313" s="214">
        <v>1800000</v>
      </c>
      <c r="N313" s="220"/>
      <c r="O313" s="19"/>
      <c r="P313" s="22">
        <v>45060</v>
      </c>
      <c r="Q313" s="19"/>
      <c r="R313" s="19"/>
      <c r="S313" s="214">
        <v>500000</v>
      </c>
      <c r="T313" s="26"/>
      <c r="U313" s="219">
        <f>M313*60%</f>
        <v>1080000</v>
      </c>
      <c r="V313" s="220">
        <f t="shared" si="26"/>
        <v>580000</v>
      </c>
      <c r="W313" s="19" t="s">
        <v>4194</v>
      </c>
    </row>
    <row r="314" spans="1:23" ht="47.25" x14ac:dyDescent="0.25">
      <c r="A314" s="19">
        <v>305</v>
      </c>
      <c r="B314" s="22">
        <v>43967</v>
      </c>
      <c r="C314" s="233" t="s">
        <v>4046</v>
      </c>
      <c r="D314" s="233" t="s">
        <v>309</v>
      </c>
      <c r="E314" s="233" t="s">
        <v>2327</v>
      </c>
      <c r="F314" s="101" t="s">
        <v>4045</v>
      </c>
      <c r="G314" s="157" t="s">
        <v>4047</v>
      </c>
      <c r="H314" s="101"/>
      <c r="I314" s="19"/>
      <c r="J314" s="10"/>
      <c r="K314" s="10" t="s">
        <v>180</v>
      </c>
      <c r="L314" s="19" t="s">
        <v>572</v>
      </c>
      <c r="M314" s="214">
        <v>2828000</v>
      </c>
      <c r="N314" s="214">
        <v>3110800</v>
      </c>
      <c r="O314" s="19"/>
      <c r="P314" s="22">
        <v>45062</v>
      </c>
      <c r="Q314" s="19"/>
      <c r="R314" s="19"/>
      <c r="S314" s="214">
        <f>(M314-3000*36)*40%</f>
        <v>1088000</v>
      </c>
      <c r="T314" s="26"/>
      <c r="U314" s="220">
        <f t="shared" ref="U314:U325" si="30">(M314-3000*36)*0.6</f>
        <v>1632000</v>
      </c>
      <c r="V314" s="220">
        <f t="shared" si="26"/>
        <v>544000</v>
      </c>
      <c r="W314" s="19" t="s">
        <v>4308</v>
      </c>
    </row>
    <row r="315" spans="1:23" s="36" customFormat="1" ht="47.25" x14ac:dyDescent="0.25">
      <c r="A315" s="18">
        <v>306</v>
      </c>
      <c r="B315" s="70">
        <v>43969</v>
      </c>
      <c r="C315" s="195" t="s">
        <v>4048</v>
      </c>
      <c r="D315" s="195" t="s">
        <v>475</v>
      </c>
      <c r="E315" s="195" t="s">
        <v>2327</v>
      </c>
      <c r="F315" s="379" t="s">
        <v>4049</v>
      </c>
      <c r="G315" s="137" t="s">
        <v>4050</v>
      </c>
      <c r="H315" s="379"/>
      <c r="I315" s="18"/>
      <c r="J315" s="78"/>
      <c r="K315" s="78" t="s">
        <v>180</v>
      </c>
      <c r="L315" s="18" t="s">
        <v>572</v>
      </c>
      <c r="M315" s="277">
        <v>2828000</v>
      </c>
      <c r="N315" s="277">
        <v>3110800</v>
      </c>
      <c r="O315" s="18"/>
      <c r="P315" s="70">
        <v>45062</v>
      </c>
      <c r="Q315" s="18"/>
      <c r="R315" s="87">
        <v>0.4</v>
      </c>
      <c r="S315" s="277">
        <f>(M315-3000*36)*40%</f>
        <v>1088000</v>
      </c>
      <c r="T315" s="20">
        <v>600000</v>
      </c>
      <c r="U315" s="220">
        <f t="shared" si="30"/>
        <v>1632000</v>
      </c>
      <c r="V315" s="237">
        <f t="shared" si="26"/>
        <v>544000</v>
      </c>
      <c r="W315" s="18" t="s">
        <v>4053</v>
      </c>
    </row>
    <row r="316" spans="1:23" ht="47.25" x14ac:dyDescent="0.25">
      <c r="A316" s="19">
        <v>307</v>
      </c>
      <c r="B316" s="22">
        <v>43970</v>
      </c>
      <c r="C316" s="233" t="s">
        <v>4076</v>
      </c>
      <c r="D316" s="233" t="s">
        <v>457</v>
      </c>
      <c r="E316" s="233"/>
      <c r="F316" s="101" t="s">
        <v>4077</v>
      </c>
      <c r="G316" s="157" t="s">
        <v>4078</v>
      </c>
      <c r="H316" s="101"/>
      <c r="I316" s="19"/>
      <c r="J316" s="10"/>
      <c r="K316" s="10" t="s">
        <v>180</v>
      </c>
      <c r="L316" s="19" t="s">
        <v>572</v>
      </c>
      <c r="M316" s="214">
        <v>2828000</v>
      </c>
      <c r="N316" s="214">
        <v>3110800</v>
      </c>
      <c r="O316" s="19"/>
      <c r="P316" s="22">
        <v>45065</v>
      </c>
      <c r="Q316" s="19"/>
      <c r="R316" s="165">
        <v>0.4</v>
      </c>
      <c r="S316" s="214">
        <f t="shared" ref="S316:S342" si="31">(M316-3000*36)*40%</f>
        <v>1088000</v>
      </c>
      <c r="T316" s="26"/>
      <c r="U316" s="220">
        <f t="shared" si="30"/>
        <v>1632000</v>
      </c>
      <c r="V316" s="220">
        <f t="shared" si="26"/>
        <v>544000</v>
      </c>
      <c r="W316" s="19" t="s">
        <v>4185</v>
      </c>
    </row>
    <row r="317" spans="1:23" ht="47.25" x14ac:dyDescent="0.25">
      <c r="A317" s="19">
        <v>308</v>
      </c>
      <c r="B317" s="22">
        <v>43970</v>
      </c>
      <c r="C317" s="233" t="s">
        <v>4079</v>
      </c>
      <c r="D317" s="233" t="s">
        <v>3622</v>
      </c>
      <c r="E317" s="233"/>
      <c r="F317" s="101" t="s">
        <v>4080</v>
      </c>
      <c r="G317" s="157" t="s">
        <v>4081</v>
      </c>
      <c r="H317" s="101"/>
      <c r="I317" s="19"/>
      <c r="J317" s="10"/>
      <c r="K317" s="10" t="s">
        <v>1430</v>
      </c>
      <c r="L317" s="19" t="s">
        <v>572</v>
      </c>
      <c r="M317" s="364">
        <v>2643000</v>
      </c>
      <c r="N317" s="364">
        <v>2907300</v>
      </c>
      <c r="O317" s="19"/>
      <c r="P317" s="22">
        <v>45045</v>
      </c>
      <c r="Q317" s="19"/>
      <c r="R317" s="165">
        <v>0.4</v>
      </c>
      <c r="S317" s="214">
        <f t="shared" si="31"/>
        <v>1014000</v>
      </c>
      <c r="T317" s="26"/>
      <c r="U317" s="220">
        <f t="shared" si="30"/>
        <v>1521000</v>
      </c>
      <c r="V317" s="220">
        <f t="shared" si="26"/>
        <v>507000</v>
      </c>
      <c r="W317" s="19" t="s">
        <v>783</v>
      </c>
    </row>
    <row r="318" spans="1:23" ht="47.25" x14ac:dyDescent="0.25">
      <c r="A318" s="19">
        <v>309</v>
      </c>
      <c r="B318" s="22">
        <v>43971</v>
      </c>
      <c r="C318" s="233" t="s">
        <v>4084</v>
      </c>
      <c r="D318" s="233"/>
      <c r="E318" s="233"/>
      <c r="F318" s="101" t="s">
        <v>4082</v>
      </c>
      <c r="G318" s="157" t="s">
        <v>4083</v>
      </c>
      <c r="H318" s="101" t="s">
        <v>4085</v>
      </c>
      <c r="I318" s="381" t="s">
        <v>4086</v>
      </c>
      <c r="J318" s="10"/>
      <c r="K318" s="10" t="s">
        <v>1430</v>
      </c>
      <c r="L318" s="19" t="s">
        <v>572</v>
      </c>
      <c r="M318" s="364">
        <v>2643000</v>
      </c>
      <c r="N318" s="364">
        <v>2907300</v>
      </c>
      <c r="O318" s="19"/>
      <c r="P318" s="22">
        <v>45045</v>
      </c>
      <c r="Q318" s="19"/>
      <c r="R318" s="19"/>
      <c r="S318" s="214">
        <v>500000</v>
      </c>
      <c r="T318" s="26"/>
      <c r="U318" s="220">
        <f t="shared" si="30"/>
        <v>1521000</v>
      </c>
      <c r="V318" s="220">
        <f t="shared" si="26"/>
        <v>1021000</v>
      </c>
      <c r="W318" s="19" t="s">
        <v>4145</v>
      </c>
    </row>
    <row r="319" spans="1:23" s="272" customFormat="1" ht="47.25" x14ac:dyDescent="0.25">
      <c r="A319" s="266">
        <v>310</v>
      </c>
      <c r="B319" s="373">
        <v>43974</v>
      </c>
      <c r="C319" s="334" t="s">
        <v>4090</v>
      </c>
      <c r="D319" s="334" t="s">
        <v>2163</v>
      </c>
      <c r="E319" s="334" t="s">
        <v>3646</v>
      </c>
      <c r="F319" s="335" t="s">
        <v>4091</v>
      </c>
      <c r="G319" s="268" t="s">
        <v>4092</v>
      </c>
      <c r="H319" s="335"/>
      <c r="I319" s="266"/>
      <c r="J319" s="269"/>
      <c r="K319" s="269" t="s">
        <v>180</v>
      </c>
      <c r="L319" s="266" t="s">
        <v>572</v>
      </c>
      <c r="M319" s="273">
        <v>2828000</v>
      </c>
      <c r="N319" s="273">
        <v>3110800</v>
      </c>
      <c r="O319" s="266"/>
      <c r="P319" s="373">
        <v>45065</v>
      </c>
      <c r="Q319" s="266"/>
      <c r="R319" s="271">
        <v>0.4</v>
      </c>
      <c r="S319" s="273">
        <f t="shared" si="31"/>
        <v>1088000</v>
      </c>
      <c r="T319" s="589"/>
      <c r="U319" s="220">
        <f t="shared" si="30"/>
        <v>1632000</v>
      </c>
      <c r="V319" s="274">
        <f t="shared" si="26"/>
        <v>544000</v>
      </c>
      <c r="W319" s="266"/>
    </row>
    <row r="320" spans="1:23" ht="31.5" x14ac:dyDescent="0.25">
      <c r="A320" s="19">
        <v>311</v>
      </c>
      <c r="B320" s="22">
        <v>43974</v>
      </c>
      <c r="C320" s="233" t="s">
        <v>4094</v>
      </c>
      <c r="D320" s="233" t="s">
        <v>3404</v>
      </c>
      <c r="E320" s="233" t="s">
        <v>3646</v>
      </c>
      <c r="F320" s="101" t="s">
        <v>4093</v>
      </c>
      <c r="G320" s="157" t="s">
        <v>4095</v>
      </c>
      <c r="H320" s="101" t="s">
        <v>4096</v>
      </c>
      <c r="I320" s="19"/>
      <c r="J320" s="10"/>
      <c r="K320" s="10" t="s">
        <v>1430</v>
      </c>
      <c r="L320" s="19" t="s">
        <v>572</v>
      </c>
      <c r="M320" s="364">
        <v>2643000</v>
      </c>
      <c r="N320" s="364">
        <v>2907300</v>
      </c>
      <c r="O320" s="19"/>
      <c r="P320" s="22">
        <v>45045</v>
      </c>
      <c r="Q320" s="19"/>
      <c r="R320" s="165">
        <v>0.4</v>
      </c>
      <c r="S320" s="214">
        <f>(M320-3000*36)*40%</f>
        <v>1014000</v>
      </c>
      <c r="T320" s="26"/>
      <c r="U320" s="220">
        <f t="shared" si="30"/>
        <v>1521000</v>
      </c>
      <c r="V320" s="220">
        <f t="shared" si="26"/>
        <v>507000</v>
      </c>
      <c r="W320" s="19" t="s">
        <v>4134</v>
      </c>
    </row>
    <row r="321" spans="1:24" ht="31.5" x14ac:dyDescent="0.25">
      <c r="A321" s="19">
        <v>312</v>
      </c>
      <c r="B321" s="22">
        <v>43974</v>
      </c>
      <c r="C321" s="233" t="s">
        <v>4105</v>
      </c>
      <c r="D321" s="233" t="s">
        <v>4036</v>
      </c>
      <c r="E321" s="233" t="s">
        <v>3646</v>
      </c>
      <c r="F321" s="101" t="s">
        <v>4104</v>
      </c>
      <c r="G321" s="157" t="s">
        <v>4106</v>
      </c>
      <c r="H321" s="101" t="s">
        <v>4107</v>
      </c>
      <c r="I321" s="19"/>
      <c r="J321" s="10"/>
      <c r="K321" s="10" t="s">
        <v>180</v>
      </c>
      <c r="L321" s="19" t="s">
        <v>572</v>
      </c>
      <c r="M321" s="214">
        <v>2828000</v>
      </c>
      <c r="N321" s="214">
        <v>3110800</v>
      </c>
      <c r="O321" s="19"/>
      <c r="P321" s="22">
        <v>45065</v>
      </c>
      <c r="Q321" s="19"/>
      <c r="R321" s="165">
        <v>0.4</v>
      </c>
      <c r="S321" s="214">
        <v>1110800</v>
      </c>
      <c r="T321" s="26"/>
      <c r="U321" s="220">
        <f t="shared" si="30"/>
        <v>1632000</v>
      </c>
      <c r="V321" s="220">
        <f t="shared" si="26"/>
        <v>521200</v>
      </c>
      <c r="W321" s="19" t="s">
        <v>4203</v>
      </c>
    </row>
    <row r="322" spans="1:24" s="272" customFormat="1" ht="63" x14ac:dyDescent="0.25">
      <c r="A322" s="266">
        <v>313</v>
      </c>
      <c r="B322" s="373">
        <v>43976</v>
      </c>
      <c r="C322" s="334" t="s">
        <v>4139</v>
      </c>
      <c r="D322" s="334" t="s">
        <v>2163</v>
      </c>
      <c r="E322" s="334" t="s">
        <v>3565</v>
      </c>
      <c r="F322" s="335" t="s">
        <v>4138</v>
      </c>
      <c r="G322" s="268" t="s">
        <v>4140</v>
      </c>
      <c r="H322" s="335"/>
      <c r="I322" s="266"/>
      <c r="J322" s="269"/>
      <c r="K322" s="269" t="s">
        <v>180</v>
      </c>
      <c r="L322" s="266" t="s">
        <v>572</v>
      </c>
      <c r="M322" s="273">
        <v>2828000</v>
      </c>
      <c r="N322" s="273">
        <v>3110800</v>
      </c>
      <c r="O322" s="266"/>
      <c r="P322" s="373">
        <v>45065</v>
      </c>
      <c r="Q322" s="266"/>
      <c r="R322" s="271">
        <v>0.4</v>
      </c>
      <c r="S322" s="273">
        <f t="shared" si="31"/>
        <v>1088000</v>
      </c>
      <c r="T322" s="589"/>
      <c r="U322" s="220">
        <f t="shared" si="30"/>
        <v>1632000</v>
      </c>
      <c r="V322" s="274">
        <f t="shared" si="26"/>
        <v>544000</v>
      </c>
      <c r="W322" s="602"/>
    </row>
    <row r="323" spans="1:24" ht="47.25" x14ac:dyDescent="0.25">
      <c r="A323" s="19">
        <v>314</v>
      </c>
      <c r="B323" s="22">
        <v>43979</v>
      </c>
      <c r="C323" s="233" t="s">
        <v>4151</v>
      </c>
      <c r="D323" s="233" t="s">
        <v>309</v>
      </c>
      <c r="E323" s="233" t="s">
        <v>2327</v>
      </c>
      <c r="F323" s="101" t="s">
        <v>4150</v>
      </c>
      <c r="G323" s="157" t="s">
        <v>4152</v>
      </c>
      <c r="H323" s="101"/>
      <c r="I323" s="19"/>
      <c r="J323" s="10"/>
      <c r="K323" s="10" t="s">
        <v>180</v>
      </c>
      <c r="L323" s="19" t="s">
        <v>572</v>
      </c>
      <c r="M323" s="214">
        <v>2828000</v>
      </c>
      <c r="N323" s="214">
        <v>3110800</v>
      </c>
      <c r="O323" s="19"/>
      <c r="P323" s="22">
        <v>45065</v>
      </c>
      <c r="Q323" s="19"/>
      <c r="R323" s="19"/>
      <c r="S323" s="214"/>
      <c r="T323" s="26"/>
      <c r="U323" s="220">
        <f t="shared" si="30"/>
        <v>1632000</v>
      </c>
      <c r="V323" s="220">
        <f t="shared" si="26"/>
        <v>1632000</v>
      </c>
      <c r="W323" s="266" t="s">
        <v>4616</v>
      </c>
    </row>
    <row r="324" spans="1:24" ht="47.25" x14ac:dyDescent="0.25">
      <c r="A324" s="19">
        <v>315</v>
      </c>
      <c r="B324" s="22">
        <v>43980</v>
      </c>
      <c r="C324" s="233" t="s">
        <v>4154</v>
      </c>
      <c r="D324" s="233" t="s">
        <v>562</v>
      </c>
      <c r="E324" s="233" t="s">
        <v>3565</v>
      </c>
      <c r="F324" s="101" t="s">
        <v>4153</v>
      </c>
      <c r="G324" s="157" t="s">
        <v>4155</v>
      </c>
      <c r="H324" s="101" t="s">
        <v>4196</v>
      </c>
      <c r="I324" s="19"/>
      <c r="J324" s="10"/>
      <c r="K324" s="10" t="s">
        <v>94</v>
      </c>
      <c r="L324" s="19" t="s">
        <v>777</v>
      </c>
      <c r="M324" s="11">
        <v>1061000</v>
      </c>
      <c r="N324" s="214">
        <v>1277100</v>
      </c>
      <c r="O324" s="19"/>
      <c r="P324" s="22">
        <v>44309</v>
      </c>
      <c r="Q324" s="19"/>
      <c r="R324" s="165">
        <v>0.4</v>
      </c>
      <c r="S324" s="214">
        <f>(M324-3000*12)*40%</f>
        <v>410000</v>
      </c>
      <c r="T324" s="26"/>
      <c r="U324" s="220">
        <f>(M324-3000*12)*0.6</f>
        <v>615000</v>
      </c>
      <c r="V324" s="220">
        <f t="shared" si="26"/>
        <v>205000</v>
      </c>
      <c r="W324" s="19" t="s">
        <v>3212</v>
      </c>
    </row>
    <row r="325" spans="1:24" s="272" customFormat="1" ht="63" x14ac:dyDescent="0.25">
      <c r="A325" s="266">
        <v>316</v>
      </c>
      <c r="B325" s="373">
        <v>43980</v>
      </c>
      <c r="C325" s="334" t="s">
        <v>4157</v>
      </c>
      <c r="D325" s="334" t="s">
        <v>309</v>
      </c>
      <c r="E325" s="334" t="s">
        <v>3565</v>
      </c>
      <c r="F325" s="335" t="s">
        <v>4156</v>
      </c>
      <c r="G325" s="268" t="s">
        <v>4158</v>
      </c>
      <c r="H325" s="335"/>
      <c r="I325" s="266"/>
      <c r="J325" s="269"/>
      <c r="K325" s="269" t="s">
        <v>180</v>
      </c>
      <c r="L325" s="266" t="s">
        <v>572</v>
      </c>
      <c r="M325" s="273">
        <v>2828000</v>
      </c>
      <c r="N325" s="273">
        <v>3110800</v>
      </c>
      <c r="O325" s="266"/>
      <c r="P325" s="373">
        <v>45065</v>
      </c>
      <c r="Q325" s="266"/>
      <c r="R325" s="271">
        <v>0.4</v>
      </c>
      <c r="S325" s="273">
        <f t="shared" si="31"/>
        <v>1088000</v>
      </c>
      <c r="T325" s="589"/>
      <c r="U325" s="220">
        <f t="shared" si="30"/>
        <v>1632000</v>
      </c>
      <c r="V325" s="274">
        <f t="shared" si="26"/>
        <v>544000</v>
      </c>
      <c r="W325" s="266" t="s">
        <v>4616</v>
      </c>
    </row>
    <row r="326" spans="1:24" s="481" customFormat="1" ht="47.25" x14ac:dyDescent="0.25">
      <c r="A326" s="274">
        <v>317</v>
      </c>
      <c r="B326" s="476">
        <v>43983</v>
      </c>
      <c r="C326" s="648" t="s">
        <v>4280</v>
      </c>
      <c r="D326" s="648" t="s">
        <v>4279</v>
      </c>
      <c r="E326" s="648" t="s">
        <v>3646</v>
      </c>
      <c r="F326" s="478" t="s">
        <v>4278</v>
      </c>
      <c r="G326" s="477" t="s">
        <v>4281</v>
      </c>
      <c r="H326" s="478" t="s">
        <v>3622</v>
      </c>
      <c r="I326" s="274"/>
      <c r="J326" s="274"/>
      <c r="K326" s="274" t="s">
        <v>94</v>
      </c>
      <c r="L326" s="274" t="s">
        <v>777</v>
      </c>
      <c r="M326" s="273">
        <v>1061000</v>
      </c>
      <c r="N326" s="273">
        <v>1277100</v>
      </c>
      <c r="O326" s="274"/>
      <c r="P326" s="476">
        <v>44348</v>
      </c>
      <c r="Q326" s="274"/>
      <c r="R326" s="480">
        <v>0.4</v>
      </c>
      <c r="S326" s="273">
        <f>(M326-3000*12)*40%</f>
        <v>410000</v>
      </c>
      <c r="T326" s="605"/>
      <c r="U326" s="220">
        <f>(M326-3000*12)*0.65</f>
        <v>666250</v>
      </c>
      <c r="V326" s="274">
        <f t="shared" si="26"/>
        <v>256250</v>
      </c>
      <c r="W326" s="274"/>
    </row>
    <row r="327" spans="1:24" ht="63" x14ac:dyDescent="0.25">
      <c r="A327" s="19">
        <v>318</v>
      </c>
      <c r="B327" s="22">
        <v>43984</v>
      </c>
      <c r="C327" s="233" t="s">
        <v>4282</v>
      </c>
      <c r="D327" s="233" t="s">
        <v>1260</v>
      </c>
      <c r="E327" s="233"/>
      <c r="F327" s="101" t="s">
        <v>4283</v>
      </c>
      <c r="G327" s="157" t="s">
        <v>4284</v>
      </c>
      <c r="H327" s="101"/>
      <c r="I327" s="19"/>
      <c r="J327" s="10"/>
      <c r="K327" s="10" t="s">
        <v>180</v>
      </c>
      <c r="L327" s="19" t="s">
        <v>572</v>
      </c>
      <c r="M327" s="214">
        <v>2828000</v>
      </c>
      <c r="N327" s="214">
        <v>3110800</v>
      </c>
      <c r="O327" s="19"/>
      <c r="P327" s="22">
        <v>45079</v>
      </c>
      <c r="Q327" s="19"/>
      <c r="R327" s="165">
        <v>0.4</v>
      </c>
      <c r="S327" s="214">
        <f t="shared" si="31"/>
        <v>1088000</v>
      </c>
      <c r="T327" s="26"/>
      <c r="U327" s="220">
        <f>(M327-3000*36)*0.65</f>
        <v>1768000</v>
      </c>
      <c r="V327" s="220">
        <f t="shared" si="26"/>
        <v>680000</v>
      </c>
      <c r="W327" s="19" t="s">
        <v>5256</v>
      </c>
    </row>
    <row r="328" spans="1:24" s="272" customFormat="1" ht="31.5" x14ac:dyDescent="0.25">
      <c r="A328" s="266">
        <v>319</v>
      </c>
      <c r="B328" s="373">
        <v>43991</v>
      </c>
      <c r="C328" s="334" t="s">
        <v>4285</v>
      </c>
      <c r="D328" s="334" t="s">
        <v>4286</v>
      </c>
      <c r="E328" s="334" t="s">
        <v>3565</v>
      </c>
      <c r="F328" s="335" t="s">
        <v>4287</v>
      </c>
      <c r="G328" s="268" t="s">
        <v>4288</v>
      </c>
      <c r="H328" s="335" t="s">
        <v>4289</v>
      </c>
      <c r="I328" s="622" t="s">
        <v>4290</v>
      </c>
      <c r="J328" s="269"/>
      <c r="K328" s="269" t="s">
        <v>83</v>
      </c>
      <c r="L328" s="266" t="s">
        <v>572</v>
      </c>
      <c r="M328" s="273">
        <v>2828000</v>
      </c>
      <c r="N328" s="273">
        <v>3110800</v>
      </c>
      <c r="O328" s="266"/>
      <c r="P328" s="373">
        <v>45079</v>
      </c>
      <c r="Q328" s="266"/>
      <c r="R328" s="271">
        <v>0.4</v>
      </c>
      <c r="S328" s="273">
        <f t="shared" si="31"/>
        <v>1088000</v>
      </c>
      <c r="T328" s="589"/>
      <c r="U328" s="220">
        <f>(M328-3000*36)*0.65</f>
        <v>1768000</v>
      </c>
      <c r="V328" s="274">
        <f t="shared" si="26"/>
        <v>680000</v>
      </c>
      <c r="W328" s="266"/>
    </row>
    <row r="329" spans="1:24" s="272" customFormat="1" ht="63" x14ac:dyDescent="0.25">
      <c r="A329" s="266">
        <v>320</v>
      </c>
      <c r="B329" s="373">
        <v>43994</v>
      </c>
      <c r="C329" s="334" t="s">
        <v>2161</v>
      </c>
      <c r="D329" s="334" t="s">
        <v>2163</v>
      </c>
      <c r="E329" s="334" t="s">
        <v>3646</v>
      </c>
      <c r="F329" s="335" t="s">
        <v>2162</v>
      </c>
      <c r="G329" s="268" t="s">
        <v>4292</v>
      </c>
      <c r="H329" s="335" t="s">
        <v>7653</v>
      </c>
      <c r="I329" s="266"/>
      <c r="J329" s="269"/>
      <c r="K329" s="269" t="s">
        <v>83</v>
      </c>
      <c r="L329" s="266" t="s">
        <v>572</v>
      </c>
      <c r="M329" s="273">
        <v>2828000</v>
      </c>
      <c r="N329" s="273">
        <v>3110800</v>
      </c>
      <c r="O329" s="266"/>
      <c r="P329" s="373">
        <v>45089</v>
      </c>
      <c r="Q329" s="266"/>
      <c r="R329" s="271">
        <v>0.4</v>
      </c>
      <c r="S329" s="273">
        <f t="shared" si="31"/>
        <v>1088000</v>
      </c>
      <c r="T329" s="589"/>
      <c r="U329" s="220">
        <f>(M329-3000*36)*0.65</f>
        <v>1768000</v>
      </c>
      <c r="V329" s="274">
        <f t="shared" si="26"/>
        <v>680000</v>
      </c>
      <c r="W329" s="266"/>
    </row>
    <row r="330" spans="1:24" s="272" customFormat="1" ht="47.25" x14ac:dyDescent="0.25">
      <c r="A330" s="266">
        <v>321</v>
      </c>
      <c r="B330" s="373">
        <v>43994</v>
      </c>
      <c r="C330" s="334" t="s">
        <v>1203</v>
      </c>
      <c r="D330" s="334" t="s">
        <v>1260</v>
      </c>
      <c r="E330" s="334" t="s">
        <v>3646</v>
      </c>
      <c r="F330" s="449" t="s">
        <v>1205</v>
      </c>
      <c r="G330" s="268" t="s">
        <v>2308</v>
      </c>
      <c r="H330" s="335" t="s">
        <v>4293</v>
      </c>
      <c r="I330" s="266"/>
      <c r="J330" s="269"/>
      <c r="K330" s="269" t="s">
        <v>94</v>
      </c>
      <c r="L330" s="266" t="s">
        <v>572</v>
      </c>
      <c r="M330" s="364">
        <v>2643000</v>
      </c>
      <c r="N330" s="364">
        <v>2907300</v>
      </c>
      <c r="O330" s="266"/>
      <c r="P330" s="373">
        <v>45089</v>
      </c>
      <c r="Q330" s="266"/>
      <c r="R330" s="271">
        <v>0.4</v>
      </c>
      <c r="S330" s="214">
        <f>N330*40%</f>
        <v>1162920</v>
      </c>
      <c r="T330" s="589"/>
      <c r="U330" s="220">
        <f>(M330-3000*36)*0.65</f>
        <v>1647750</v>
      </c>
      <c r="V330" s="274">
        <f t="shared" si="26"/>
        <v>484830</v>
      </c>
      <c r="W330" s="266"/>
    </row>
    <row r="331" spans="1:24" s="272" customFormat="1" ht="47.25" x14ac:dyDescent="0.25">
      <c r="A331" s="266">
        <v>322</v>
      </c>
      <c r="B331" s="373">
        <v>43994</v>
      </c>
      <c r="C331" s="334" t="s">
        <v>4294</v>
      </c>
      <c r="D331" s="334" t="s">
        <v>1686</v>
      </c>
      <c r="E331" s="334"/>
      <c r="F331" s="335" t="s">
        <v>4295</v>
      </c>
      <c r="G331" s="268" t="s">
        <v>4296</v>
      </c>
      <c r="H331" s="335"/>
      <c r="I331" s="266"/>
      <c r="J331" s="269"/>
      <c r="K331" s="269" t="s">
        <v>94</v>
      </c>
      <c r="L331" s="266" t="s">
        <v>777</v>
      </c>
      <c r="M331" s="270">
        <v>1061000</v>
      </c>
      <c r="N331" s="273">
        <v>1277100</v>
      </c>
      <c r="O331" s="266"/>
      <c r="P331" s="373">
        <v>44359</v>
      </c>
      <c r="Q331" s="266"/>
      <c r="R331" s="271">
        <v>0.47</v>
      </c>
      <c r="S331" s="273">
        <f>(M331-3000*36)*47%</f>
        <v>447910</v>
      </c>
      <c r="T331" s="589"/>
      <c r="U331" s="220">
        <f>(M331-3000*12)*0.65</f>
        <v>666250</v>
      </c>
      <c r="V331" s="274">
        <f t="shared" si="26"/>
        <v>218340</v>
      </c>
      <c r="W331" s="266"/>
    </row>
    <row r="332" spans="1:24" s="272" customFormat="1" ht="47.25" x14ac:dyDescent="0.25">
      <c r="A332" s="266">
        <v>323</v>
      </c>
      <c r="B332" s="373">
        <v>43994</v>
      </c>
      <c r="C332" s="334" t="s">
        <v>4298</v>
      </c>
      <c r="D332" s="334" t="s">
        <v>1907</v>
      </c>
      <c r="E332" s="334" t="s">
        <v>3646</v>
      </c>
      <c r="F332" s="335" t="s">
        <v>4297</v>
      </c>
      <c r="G332" s="268" t="s">
        <v>4299</v>
      </c>
      <c r="H332" s="335" t="s">
        <v>4300</v>
      </c>
      <c r="I332" s="152" t="s">
        <v>958</v>
      </c>
      <c r="J332" s="269"/>
      <c r="K332" s="269" t="s">
        <v>83</v>
      </c>
      <c r="L332" s="266" t="s">
        <v>572</v>
      </c>
      <c r="M332" s="273">
        <v>2828000</v>
      </c>
      <c r="N332" s="273">
        <v>3110800</v>
      </c>
      <c r="O332" s="266"/>
      <c r="P332" s="373">
        <v>45089</v>
      </c>
      <c r="Q332" s="266"/>
      <c r="R332" s="266"/>
      <c r="S332" s="273">
        <f t="shared" si="31"/>
        <v>1088000</v>
      </c>
      <c r="T332" s="589"/>
      <c r="U332" s="220">
        <f>(M332-3000*36)*0.65</f>
        <v>1768000</v>
      </c>
      <c r="V332" s="274">
        <f t="shared" si="26"/>
        <v>680000</v>
      </c>
      <c r="W332" s="266"/>
    </row>
    <row r="333" spans="1:24" s="272" customFormat="1" ht="47.25" x14ac:dyDescent="0.25">
      <c r="A333" s="266">
        <v>324</v>
      </c>
      <c r="B333" s="266"/>
      <c r="C333" s="334" t="s">
        <v>4326</v>
      </c>
      <c r="D333" s="334" t="s">
        <v>309</v>
      </c>
      <c r="E333" s="334"/>
      <c r="F333" s="335" t="s">
        <v>4327</v>
      </c>
      <c r="G333" s="268" t="s">
        <v>4328</v>
      </c>
      <c r="H333" s="335"/>
      <c r="I333" s="266"/>
      <c r="J333" s="269"/>
      <c r="K333" s="269" t="s">
        <v>94</v>
      </c>
      <c r="L333" s="266" t="s">
        <v>777</v>
      </c>
      <c r="M333" s="270">
        <v>1061000</v>
      </c>
      <c r="N333" s="273">
        <v>1277100</v>
      </c>
      <c r="O333" s="266"/>
      <c r="P333" s="373">
        <v>44359</v>
      </c>
      <c r="Q333" s="266"/>
      <c r="R333" s="266"/>
      <c r="S333" s="273">
        <f t="shared" si="31"/>
        <v>381200</v>
      </c>
      <c r="T333" s="589"/>
      <c r="U333" s="220">
        <f>(M333-3000*12)*0.65</f>
        <v>666250</v>
      </c>
      <c r="V333" s="274">
        <f t="shared" si="26"/>
        <v>285050</v>
      </c>
      <c r="W333" s="266"/>
    </row>
    <row r="334" spans="1:24" s="272" customFormat="1" ht="47.25" x14ac:dyDescent="0.25">
      <c r="A334" s="266">
        <v>325</v>
      </c>
      <c r="B334" s="373">
        <v>43998</v>
      </c>
      <c r="C334" s="334" t="s">
        <v>4340</v>
      </c>
      <c r="D334" s="334" t="s">
        <v>502</v>
      </c>
      <c r="E334" s="334"/>
      <c r="F334" s="335" t="s">
        <v>4590</v>
      </c>
      <c r="G334" s="268" t="s">
        <v>4342</v>
      </c>
      <c r="H334" s="335" t="s">
        <v>4591</v>
      </c>
      <c r="I334" s="266"/>
      <c r="J334" s="269"/>
      <c r="K334" s="269" t="s">
        <v>83</v>
      </c>
      <c r="L334" s="266" t="s">
        <v>572</v>
      </c>
      <c r="M334" s="273">
        <v>2828000</v>
      </c>
      <c r="N334" s="273">
        <v>3110800</v>
      </c>
      <c r="O334" s="266"/>
      <c r="P334" s="373">
        <v>45093</v>
      </c>
      <c r="Q334" s="266"/>
      <c r="R334" s="266"/>
      <c r="S334" s="273">
        <f t="shared" si="31"/>
        <v>1088000</v>
      </c>
      <c r="T334" s="589"/>
      <c r="U334" s="220">
        <f t="shared" ref="U334:U340" si="32">(M334-3000*36)*0.65</f>
        <v>1768000</v>
      </c>
      <c r="V334" s="274">
        <f t="shared" si="26"/>
        <v>680000</v>
      </c>
      <c r="W334" s="266"/>
    </row>
    <row r="335" spans="1:24" s="272" customFormat="1" ht="47.25" x14ac:dyDescent="0.25">
      <c r="A335" s="266">
        <v>326</v>
      </c>
      <c r="B335" s="373">
        <v>43999</v>
      </c>
      <c r="C335" s="334" t="s">
        <v>4592</v>
      </c>
      <c r="D335" s="334" t="s">
        <v>309</v>
      </c>
      <c r="E335" s="334"/>
      <c r="F335" s="335" t="s">
        <v>4593</v>
      </c>
      <c r="G335" s="268" t="s">
        <v>4594</v>
      </c>
      <c r="H335" s="335"/>
      <c r="I335" s="266"/>
      <c r="J335" s="269"/>
      <c r="K335" s="269" t="s">
        <v>83</v>
      </c>
      <c r="L335" s="266" t="s">
        <v>572</v>
      </c>
      <c r="M335" s="273">
        <v>2828000</v>
      </c>
      <c r="N335" s="273">
        <v>3110800</v>
      </c>
      <c r="O335" s="266"/>
      <c r="P335" s="373">
        <v>45094</v>
      </c>
      <c r="Q335" s="266"/>
      <c r="R335" s="266"/>
      <c r="S335" s="273">
        <f t="shared" si="31"/>
        <v>1088000</v>
      </c>
      <c r="T335" s="589"/>
      <c r="U335" s="220">
        <f t="shared" si="32"/>
        <v>1768000</v>
      </c>
      <c r="V335" s="274">
        <f t="shared" si="26"/>
        <v>680000</v>
      </c>
      <c r="W335" s="266"/>
      <c r="X335" s="624"/>
    </row>
    <row r="336" spans="1:24" ht="47.25" x14ac:dyDescent="0.25">
      <c r="A336" s="19">
        <v>327</v>
      </c>
      <c r="B336" s="22">
        <v>44000</v>
      </c>
      <c r="C336" s="233" t="s">
        <v>4595</v>
      </c>
      <c r="D336" s="233" t="s">
        <v>562</v>
      </c>
      <c r="E336" s="233"/>
      <c r="F336" s="101" t="s">
        <v>4597</v>
      </c>
      <c r="G336" s="157" t="s">
        <v>4596</v>
      </c>
      <c r="H336" s="101" t="s">
        <v>4598</v>
      </c>
      <c r="I336" s="19"/>
      <c r="J336" s="10"/>
      <c r="K336" s="10" t="s">
        <v>1430</v>
      </c>
      <c r="L336" s="19" t="s">
        <v>572</v>
      </c>
      <c r="M336" s="364">
        <v>2643000</v>
      </c>
      <c r="N336" s="364">
        <v>2907300</v>
      </c>
      <c r="O336" s="19"/>
      <c r="P336" s="22">
        <v>45045</v>
      </c>
      <c r="Q336" s="19"/>
      <c r="R336" s="165">
        <v>0.4</v>
      </c>
      <c r="S336" s="214">
        <f t="shared" si="31"/>
        <v>1014000</v>
      </c>
      <c r="T336" s="26" t="s">
        <v>4599</v>
      </c>
      <c r="U336" s="220">
        <f t="shared" si="32"/>
        <v>1647750</v>
      </c>
      <c r="V336" s="220">
        <f t="shared" si="26"/>
        <v>633750</v>
      </c>
      <c r="W336" s="19" t="s">
        <v>5043</v>
      </c>
    </row>
    <row r="337" spans="1:23" s="272" customFormat="1" ht="47.25" x14ac:dyDescent="0.25">
      <c r="A337" s="266">
        <v>328</v>
      </c>
      <c r="B337" s="373">
        <v>44004</v>
      </c>
      <c r="C337" s="334" t="s">
        <v>4600</v>
      </c>
      <c r="D337" s="334" t="s">
        <v>309</v>
      </c>
      <c r="E337" s="334"/>
      <c r="F337" s="335" t="s">
        <v>4601</v>
      </c>
      <c r="G337" s="268" t="s">
        <v>4602</v>
      </c>
      <c r="H337" s="335"/>
      <c r="I337" s="266"/>
      <c r="J337" s="269"/>
      <c r="K337" s="269" t="s">
        <v>83</v>
      </c>
      <c r="L337" s="266" t="s">
        <v>572</v>
      </c>
      <c r="M337" s="273">
        <v>2828000</v>
      </c>
      <c r="N337" s="273">
        <v>3110800</v>
      </c>
      <c r="O337" s="266"/>
      <c r="P337" s="373">
        <v>45099</v>
      </c>
      <c r="Q337" s="266"/>
      <c r="R337" s="266"/>
      <c r="S337" s="273">
        <f t="shared" si="31"/>
        <v>1088000</v>
      </c>
      <c r="T337" s="589"/>
      <c r="U337" s="220">
        <f t="shared" si="32"/>
        <v>1768000</v>
      </c>
      <c r="V337" s="274">
        <f t="shared" si="26"/>
        <v>680000</v>
      </c>
      <c r="W337" s="266"/>
    </row>
    <row r="338" spans="1:23" s="272" customFormat="1" ht="47.25" x14ac:dyDescent="0.25">
      <c r="A338" s="266">
        <v>329</v>
      </c>
      <c r="B338" s="373">
        <v>44004</v>
      </c>
      <c r="C338" s="334" t="s">
        <v>4603</v>
      </c>
      <c r="D338" s="334" t="s">
        <v>502</v>
      </c>
      <c r="E338" s="334"/>
      <c r="F338" s="335" t="s">
        <v>4605</v>
      </c>
      <c r="G338" s="268" t="s">
        <v>4604</v>
      </c>
      <c r="H338" s="335" t="s">
        <v>4606</v>
      </c>
      <c r="I338" s="266"/>
      <c r="J338" s="269"/>
      <c r="K338" s="269" t="s">
        <v>1430</v>
      </c>
      <c r="L338" s="266" t="s">
        <v>572</v>
      </c>
      <c r="M338" s="415">
        <v>2643000</v>
      </c>
      <c r="N338" s="415">
        <v>2907300</v>
      </c>
      <c r="O338" s="266"/>
      <c r="P338" s="373">
        <v>45099</v>
      </c>
      <c r="Q338" s="266"/>
      <c r="R338" s="266"/>
      <c r="S338" s="273"/>
      <c r="T338" s="589" t="s">
        <v>4607</v>
      </c>
      <c r="U338" s="220">
        <f t="shared" si="32"/>
        <v>1647750</v>
      </c>
      <c r="V338" s="274">
        <f t="shared" si="26"/>
        <v>1647750</v>
      </c>
      <c r="W338" s="266"/>
    </row>
    <row r="339" spans="1:23" s="272" customFormat="1" ht="63" x14ac:dyDescent="0.25">
      <c r="A339" s="266">
        <v>330</v>
      </c>
      <c r="B339" s="373">
        <v>44005</v>
      </c>
      <c r="C339" s="334" t="s">
        <v>4608</v>
      </c>
      <c r="D339" s="334" t="s">
        <v>3469</v>
      </c>
      <c r="E339" s="334"/>
      <c r="F339" s="335" t="s">
        <v>4610</v>
      </c>
      <c r="G339" s="268" t="s">
        <v>4609</v>
      </c>
      <c r="H339" s="335"/>
      <c r="I339" s="266"/>
      <c r="J339" s="269"/>
      <c r="K339" s="269" t="s">
        <v>83</v>
      </c>
      <c r="L339" s="266" t="s">
        <v>572</v>
      </c>
      <c r="M339" s="273">
        <v>2828000</v>
      </c>
      <c r="N339" s="273">
        <v>3110800</v>
      </c>
      <c r="O339" s="266"/>
      <c r="P339" s="373">
        <v>45099</v>
      </c>
      <c r="Q339" s="266"/>
      <c r="R339" s="266"/>
      <c r="S339" s="273">
        <f t="shared" si="31"/>
        <v>1088000</v>
      </c>
      <c r="T339" s="589"/>
      <c r="U339" s="220">
        <f t="shared" si="32"/>
        <v>1768000</v>
      </c>
      <c r="V339" s="274">
        <f t="shared" si="26"/>
        <v>680000</v>
      </c>
      <c r="W339" s="266"/>
    </row>
    <row r="340" spans="1:23" s="272" customFormat="1" ht="63" x14ac:dyDescent="0.25">
      <c r="A340" s="266">
        <v>331</v>
      </c>
      <c r="B340" s="373">
        <v>44005</v>
      </c>
      <c r="C340" s="334" t="s">
        <v>4611</v>
      </c>
      <c r="D340" s="334" t="s">
        <v>4612</v>
      </c>
      <c r="E340" s="334"/>
      <c r="F340" s="335" t="s">
        <v>4613</v>
      </c>
      <c r="G340" s="268" t="s">
        <v>4614</v>
      </c>
      <c r="H340" s="335"/>
      <c r="I340" s="266"/>
      <c r="J340" s="269"/>
      <c r="K340" s="269" t="s">
        <v>83</v>
      </c>
      <c r="L340" s="266" t="s">
        <v>572</v>
      </c>
      <c r="M340" s="273">
        <v>2828000</v>
      </c>
      <c r="N340" s="273">
        <v>3110800</v>
      </c>
      <c r="O340" s="266"/>
      <c r="P340" s="373">
        <v>45099</v>
      </c>
      <c r="Q340" s="266"/>
      <c r="R340" s="266"/>
      <c r="S340" s="273">
        <v>810800</v>
      </c>
      <c r="T340" s="589"/>
      <c r="U340" s="220">
        <f t="shared" si="32"/>
        <v>1768000</v>
      </c>
      <c r="V340" s="274">
        <f t="shared" si="26"/>
        <v>957200</v>
      </c>
      <c r="W340" s="266"/>
    </row>
    <row r="341" spans="1:23" ht="63" x14ac:dyDescent="0.25">
      <c r="A341" s="19">
        <v>332</v>
      </c>
      <c r="B341" s="22">
        <v>44006</v>
      </c>
      <c r="C341" s="233" t="s">
        <v>4617</v>
      </c>
      <c r="D341" s="233" t="s">
        <v>4618</v>
      </c>
      <c r="E341" s="233"/>
      <c r="F341" s="101" t="s">
        <v>4619</v>
      </c>
      <c r="G341" s="157" t="s">
        <v>4620</v>
      </c>
      <c r="H341" s="101"/>
      <c r="I341" s="19"/>
      <c r="J341" s="10"/>
      <c r="K341" s="10" t="s">
        <v>94</v>
      </c>
      <c r="L341" s="19" t="s">
        <v>777</v>
      </c>
      <c r="M341" s="11">
        <v>1061000</v>
      </c>
      <c r="N341" s="214">
        <v>1277100</v>
      </c>
      <c r="O341" s="266"/>
      <c r="P341" s="22">
        <v>44359</v>
      </c>
      <c r="Q341" s="266"/>
      <c r="R341" s="165">
        <v>0.35</v>
      </c>
      <c r="S341" s="214">
        <f>(M341-3000*12)*35%</f>
        <v>358750</v>
      </c>
      <c r="T341" s="26"/>
      <c r="U341" s="220">
        <f>(M341-3000*12)*0.65</f>
        <v>666250</v>
      </c>
      <c r="V341" s="220">
        <f t="shared" si="26"/>
        <v>307500</v>
      </c>
      <c r="W341" s="19"/>
    </row>
    <row r="342" spans="1:23" s="272" customFormat="1" ht="63" x14ac:dyDescent="0.25">
      <c r="A342" s="266">
        <v>333</v>
      </c>
      <c r="B342" s="373">
        <v>44006</v>
      </c>
      <c r="C342" s="334" t="s">
        <v>4467</v>
      </c>
      <c r="D342" s="334" t="s">
        <v>954</v>
      </c>
      <c r="E342" s="334" t="s">
        <v>3565</v>
      </c>
      <c r="F342" s="449" t="s">
        <v>4468</v>
      </c>
      <c r="G342" s="268" t="s">
        <v>4469</v>
      </c>
      <c r="H342" s="335"/>
      <c r="I342" s="266"/>
      <c r="J342" s="269"/>
      <c r="K342" s="269" t="s">
        <v>83</v>
      </c>
      <c r="L342" s="266" t="s">
        <v>572</v>
      </c>
      <c r="M342" s="273">
        <v>2828000</v>
      </c>
      <c r="N342" s="273">
        <v>3110800</v>
      </c>
      <c r="O342" s="266"/>
      <c r="P342" s="373">
        <v>45099</v>
      </c>
      <c r="Q342" s="266"/>
      <c r="R342" s="271">
        <v>0.4</v>
      </c>
      <c r="S342" s="273">
        <f t="shared" si="31"/>
        <v>1088000</v>
      </c>
      <c r="T342" s="589"/>
      <c r="U342" s="274">
        <f>(M342-3000*36)*0.65</f>
        <v>1768000</v>
      </c>
      <c r="V342" s="274">
        <f t="shared" si="26"/>
        <v>680000</v>
      </c>
      <c r="W342" s="266"/>
    </row>
    <row r="343" spans="1:23" x14ac:dyDescent="0.25">
      <c r="A343" s="19">
        <v>334</v>
      </c>
      <c r="B343" s="22">
        <v>44007</v>
      </c>
      <c r="C343" s="233" t="s">
        <v>4621</v>
      </c>
      <c r="D343" s="233" t="s">
        <v>562</v>
      </c>
      <c r="E343" s="233"/>
      <c r="F343" s="101"/>
      <c r="G343" s="157"/>
      <c r="H343" s="101" t="s">
        <v>4627</v>
      </c>
      <c r="I343" s="19"/>
      <c r="J343" s="10"/>
      <c r="K343" s="10" t="s">
        <v>83</v>
      </c>
      <c r="L343" s="19" t="s">
        <v>572</v>
      </c>
      <c r="M343" s="214">
        <v>1800000</v>
      </c>
      <c r="N343" s="220"/>
      <c r="O343" s="19"/>
      <c r="P343" s="19"/>
      <c r="Q343" s="19"/>
      <c r="R343" s="165">
        <v>0.4</v>
      </c>
      <c r="S343" s="214">
        <f>M343*R343</f>
        <v>720000</v>
      </c>
      <c r="T343" s="26"/>
      <c r="U343" s="626">
        <f>M343*0.65</f>
        <v>1170000</v>
      </c>
      <c r="V343" s="220">
        <f t="shared" si="26"/>
        <v>450000</v>
      </c>
      <c r="W343" s="19" t="s">
        <v>4623</v>
      </c>
    </row>
    <row r="344" spans="1:23" x14ac:dyDescent="0.25">
      <c r="A344" s="19">
        <v>335</v>
      </c>
      <c r="B344" s="22">
        <v>44007</v>
      </c>
      <c r="C344" s="233" t="s">
        <v>4622</v>
      </c>
      <c r="D344" s="233" t="s">
        <v>562</v>
      </c>
      <c r="E344" s="233"/>
      <c r="F344" s="101"/>
      <c r="G344" s="157"/>
      <c r="H344" s="101"/>
      <c r="I344" s="19"/>
      <c r="J344" s="10"/>
      <c r="K344" s="10" t="s">
        <v>83</v>
      </c>
      <c r="L344" s="19" t="s">
        <v>572</v>
      </c>
      <c r="M344" s="214">
        <v>1800000</v>
      </c>
      <c r="N344" s="220"/>
      <c r="O344" s="19"/>
      <c r="P344" s="19"/>
      <c r="Q344" s="19"/>
      <c r="R344" s="165">
        <v>0.4</v>
      </c>
      <c r="S344" s="214">
        <f>M344*R344</f>
        <v>720000</v>
      </c>
      <c r="T344" s="26"/>
      <c r="U344" s="626">
        <f>M344*0.65</f>
        <v>1170000</v>
      </c>
      <c r="V344" s="220">
        <f t="shared" ref="V344:V407" si="33">U344-S344</f>
        <v>450000</v>
      </c>
      <c r="W344" s="19" t="s">
        <v>4623</v>
      </c>
    </row>
    <row r="345" spans="1:23" ht="31.5" x14ac:dyDescent="0.25">
      <c r="A345" s="19">
        <v>336</v>
      </c>
      <c r="B345" s="22">
        <v>44008</v>
      </c>
      <c r="C345" s="233" t="s">
        <v>4625</v>
      </c>
      <c r="D345" s="233" t="s">
        <v>457</v>
      </c>
      <c r="E345" s="233"/>
      <c r="F345" s="101" t="s">
        <v>4624</v>
      </c>
      <c r="G345" s="157" t="s">
        <v>4626</v>
      </c>
      <c r="H345" s="101"/>
      <c r="I345" s="19"/>
      <c r="J345" s="10"/>
      <c r="K345" s="10" t="s">
        <v>1430</v>
      </c>
      <c r="L345" s="19" t="s">
        <v>572</v>
      </c>
      <c r="M345" s="364">
        <v>2643000</v>
      </c>
      <c r="N345" s="364">
        <v>2907300</v>
      </c>
      <c r="O345" s="19"/>
      <c r="P345" s="22">
        <v>45103</v>
      </c>
      <c r="Q345" s="19"/>
      <c r="R345" s="165">
        <v>0.4</v>
      </c>
      <c r="S345" s="214">
        <f t="shared" ref="S345" si="34">(M345-3000*36)*40%</f>
        <v>1014000</v>
      </c>
      <c r="T345" s="26"/>
      <c r="U345" s="220">
        <f>(M345-3000*36)*0.65</f>
        <v>1647750</v>
      </c>
      <c r="V345" s="220">
        <f t="shared" si="33"/>
        <v>633750</v>
      </c>
      <c r="W345" s="19" t="s">
        <v>5042</v>
      </c>
    </row>
    <row r="346" spans="1:23" s="272" customFormat="1" ht="47.25" x14ac:dyDescent="0.25">
      <c r="A346" s="266">
        <v>337</v>
      </c>
      <c r="B346" s="373">
        <v>44008</v>
      </c>
      <c r="C346" s="334" t="s">
        <v>4826</v>
      </c>
      <c r="D346" s="334" t="s">
        <v>457</v>
      </c>
      <c r="E346" s="334"/>
      <c r="F346" s="335" t="s">
        <v>4827</v>
      </c>
      <c r="G346" s="268" t="s">
        <v>4828</v>
      </c>
      <c r="H346" s="335"/>
      <c r="I346" s="266"/>
      <c r="J346" s="269"/>
      <c r="K346" s="269" t="s">
        <v>1430</v>
      </c>
      <c r="L346" s="266" t="s">
        <v>572</v>
      </c>
      <c r="M346" s="415">
        <v>2643000</v>
      </c>
      <c r="N346" s="415">
        <v>2907300</v>
      </c>
      <c r="O346" s="266"/>
      <c r="P346" s="373">
        <v>45103</v>
      </c>
      <c r="Q346" s="266"/>
      <c r="R346" s="271">
        <v>0.4</v>
      </c>
      <c r="S346" s="273"/>
      <c r="T346" s="589"/>
      <c r="U346" s="274"/>
      <c r="V346" s="220"/>
      <c r="W346" s="266"/>
    </row>
    <row r="347" spans="1:23" s="272" customFormat="1" ht="47.25" x14ac:dyDescent="0.25">
      <c r="A347" s="266">
        <v>337</v>
      </c>
      <c r="B347" s="373">
        <v>44008</v>
      </c>
      <c r="C347" s="334" t="s">
        <v>4628</v>
      </c>
      <c r="D347" s="334" t="s">
        <v>309</v>
      </c>
      <c r="E347" s="334"/>
      <c r="F347" s="335" t="s">
        <v>4630</v>
      </c>
      <c r="G347" s="268" t="s">
        <v>4629</v>
      </c>
      <c r="H347" s="335"/>
      <c r="I347" s="266"/>
      <c r="J347" s="269"/>
      <c r="K347" s="269" t="s">
        <v>94</v>
      </c>
      <c r="L347" s="266" t="s">
        <v>756</v>
      </c>
      <c r="M347" s="273">
        <v>1992000</v>
      </c>
      <c r="N347" s="273">
        <v>2191200</v>
      </c>
      <c r="O347" s="266"/>
      <c r="P347" s="373">
        <v>44738</v>
      </c>
      <c r="Q347" s="266"/>
      <c r="R347" s="271">
        <v>0.4</v>
      </c>
      <c r="S347" s="273">
        <f>(M347-3000*24)*40%</f>
        <v>768000</v>
      </c>
      <c r="T347" s="589"/>
      <c r="U347" s="274">
        <f>(M347-3000*24)*0.65</f>
        <v>1248000</v>
      </c>
      <c r="V347" s="274">
        <f t="shared" si="33"/>
        <v>480000</v>
      </c>
      <c r="W347" s="266"/>
    </row>
    <row r="348" spans="1:23" ht="63" x14ac:dyDescent="0.25">
      <c r="A348" s="19">
        <v>338</v>
      </c>
      <c r="B348" s="22">
        <v>44008</v>
      </c>
      <c r="C348" s="233" t="s">
        <v>4631</v>
      </c>
      <c r="D348" s="233" t="s">
        <v>502</v>
      </c>
      <c r="E348" s="233"/>
      <c r="F348" s="101" t="s">
        <v>4635</v>
      </c>
      <c r="G348" s="157" t="s">
        <v>4634</v>
      </c>
      <c r="H348" s="101" t="s">
        <v>4632</v>
      </c>
      <c r="I348" s="381" t="s">
        <v>4633</v>
      </c>
      <c r="J348" s="10"/>
      <c r="K348" s="10" t="s">
        <v>83</v>
      </c>
      <c r="L348" s="19" t="s">
        <v>572</v>
      </c>
      <c r="M348" s="214">
        <v>2828000</v>
      </c>
      <c r="N348" s="214">
        <v>3110800</v>
      </c>
      <c r="O348" s="19"/>
      <c r="P348" s="22">
        <v>45103</v>
      </c>
      <c r="Q348" s="19"/>
      <c r="R348" s="165">
        <v>0.35</v>
      </c>
      <c r="S348" s="214">
        <f>(M348-3000*36)*35%</f>
        <v>951999.99999999988</v>
      </c>
      <c r="T348" s="26"/>
      <c r="U348" s="220">
        <f>(M348-3000*36)*0.65</f>
        <v>1768000</v>
      </c>
      <c r="V348" s="220">
        <f t="shared" si="33"/>
        <v>816000.00000000012</v>
      </c>
      <c r="W348" s="19" t="s">
        <v>5045</v>
      </c>
    </row>
    <row r="349" spans="1:23" ht="31.5" x14ac:dyDescent="0.25">
      <c r="A349" s="19">
        <v>339</v>
      </c>
      <c r="B349" s="22">
        <v>44012</v>
      </c>
      <c r="C349" s="233" t="s">
        <v>4636</v>
      </c>
      <c r="D349" s="233" t="s">
        <v>562</v>
      </c>
      <c r="E349" s="233"/>
      <c r="F349" s="101" t="s">
        <v>4637</v>
      </c>
      <c r="G349" s="157" t="s">
        <v>4638</v>
      </c>
      <c r="H349" s="101" t="s">
        <v>4639</v>
      </c>
      <c r="I349" s="19"/>
      <c r="J349" s="10"/>
      <c r="K349" s="10" t="s">
        <v>1430</v>
      </c>
      <c r="L349" s="19" t="s">
        <v>572</v>
      </c>
      <c r="M349" s="364">
        <v>2643000</v>
      </c>
      <c r="N349" s="364">
        <v>2907300</v>
      </c>
      <c r="O349" s="19"/>
      <c r="P349" s="22">
        <v>45107</v>
      </c>
      <c r="Q349" s="19"/>
      <c r="R349" s="165">
        <v>0.4</v>
      </c>
      <c r="S349" s="214">
        <f>(M349-3000*36)*40%</f>
        <v>1014000</v>
      </c>
      <c r="T349" s="26" t="s">
        <v>4640</v>
      </c>
      <c r="U349" s="220">
        <f>(M349-3000*36)*0.65</f>
        <v>1647750</v>
      </c>
      <c r="V349" s="220">
        <f t="shared" si="33"/>
        <v>633750</v>
      </c>
      <c r="W349" s="19" t="s">
        <v>4641</v>
      </c>
    </row>
    <row r="350" spans="1:23" ht="48" customHeight="1" x14ac:dyDescent="0.25">
      <c r="A350" s="19">
        <v>340</v>
      </c>
      <c r="B350" s="22">
        <v>44012</v>
      </c>
      <c r="C350" s="233" t="s">
        <v>4642</v>
      </c>
      <c r="D350" s="233" t="s">
        <v>954</v>
      </c>
      <c r="E350" s="233"/>
      <c r="F350" s="101" t="s">
        <v>4677</v>
      </c>
      <c r="G350" s="157" t="s">
        <v>4678</v>
      </c>
      <c r="H350" s="101"/>
      <c r="I350" s="19"/>
      <c r="J350" s="10"/>
      <c r="K350" s="10" t="s">
        <v>83</v>
      </c>
      <c r="L350" s="19" t="s">
        <v>572</v>
      </c>
      <c r="M350" s="214">
        <v>2828000</v>
      </c>
      <c r="N350" s="214">
        <v>3110800</v>
      </c>
      <c r="O350" s="19"/>
      <c r="P350" s="22">
        <v>45107</v>
      </c>
      <c r="Q350" s="19"/>
      <c r="R350" s="165">
        <v>0.4</v>
      </c>
      <c r="S350" s="214">
        <f>(M350-3000*36)*40%</f>
        <v>1088000</v>
      </c>
      <c r="T350" s="26"/>
      <c r="U350" s="220">
        <f>(M350-3000*24)*0.65</f>
        <v>1791400</v>
      </c>
      <c r="V350" s="220">
        <f t="shared" si="33"/>
        <v>703400</v>
      </c>
      <c r="W350" s="19"/>
    </row>
    <row r="351" spans="1:23" s="481" customFormat="1" ht="63" x14ac:dyDescent="0.25">
      <c r="A351" s="274">
        <v>341</v>
      </c>
      <c r="B351" s="476">
        <v>44013</v>
      </c>
      <c r="C351" s="648" t="s">
        <v>4674</v>
      </c>
      <c r="D351" s="648" t="s">
        <v>3622</v>
      </c>
      <c r="E351" s="648"/>
      <c r="F351" s="478" t="s">
        <v>4676</v>
      </c>
      <c r="G351" s="477" t="s">
        <v>4675</v>
      </c>
      <c r="H351" s="478"/>
      <c r="I351" s="274"/>
      <c r="J351" s="274"/>
      <c r="K351" s="274" t="s">
        <v>1430</v>
      </c>
      <c r="L351" s="274" t="s">
        <v>572</v>
      </c>
      <c r="M351" s="415">
        <v>2643000</v>
      </c>
      <c r="N351" s="415">
        <v>2907300</v>
      </c>
      <c r="O351" s="274"/>
      <c r="P351" s="476">
        <v>45107</v>
      </c>
      <c r="Q351" s="274"/>
      <c r="R351" s="480">
        <v>0.4</v>
      </c>
      <c r="S351" s="273">
        <f>(M351-3000*36)*40%</f>
        <v>1014000</v>
      </c>
      <c r="T351" s="605"/>
      <c r="U351" s="274">
        <f>(M351-3000*24)*0.65</f>
        <v>1671150</v>
      </c>
      <c r="V351" s="274">
        <f t="shared" si="33"/>
        <v>657150</v>
      </c>
      <c r="W351" s="274"/>
    </row>
    <row r="352" spans="1:23" s="272" customFormat="1" ht="63" x14ac:dyDescent="0.25">
      <c r="A352" s="266">
        <v>342</v>
      </c>
      <c r="B352" s="373">
        <v>44013</v>
      </c>
      <c r="C352" s="334" t="s">
        <v>4679</v>
      </c>
      <c r="D352" s="334" t="s">
        <v>309</v>
      </c>
      <c r="E352" s="334"/>
      <c r="F352" s="335" t="s">
        <v>4681</v>
      </c>
      <c r="G352" s="268" t="s">
        <v>4680</v>
      </c>
      <c r="H352" s="335"/>
      <c r="I352" s="266"/>
      <c r="J352" s="269"/>
      <c r="K352" s="269" t="s">
        <v>83</v>
      </c>
      <c r="L352" s="266" t="s">
        <v>572</v>
      </c>
      <c r="M352" s="273">
        <v>2828000</v>
      </c>
      <c r="N352" s="273">
        <v>3110800</v>
      </c>
      <c r="O352" s="266"/>
      <c r="P352" s="373">
        <v>45107</v>
      </c>
      <c r="Q352" s="266"/>
      <c r="R352" s="271">
        <v>0.4</v>
      </c>
      <c r="S352" s="273">
        <f>(M352-3000*36)*40%</f>
        <v>1088000</v>
      </c>
      <c r="T352" s="589"/>
      <c r="U352" s="274">
        <f>(M352-3000*24)*0.65</f>
        <v>1791400</v>
      </c>
      <c r="V352" s="274">
        <f t="shared" si="33"/>
        <v>703400</v>
      </c>
      <c r="W352" s="266"/>
    </row>
    <row r="353" spans="1:23" s="272" customFormat="1" ht="47.25" x14ac:dyDescent="0.25">
      <c r="A353" s="266">
        <v>343</v>
      </c>
      <c r="B353" s="373">
        <v>44015</v>
      </c>
      <c r="C353" s="334" t="s">
        <v>4718</v>
      </c>
      <c r="D353" s="334" t="s">
        <v>984</v>
      </c>
      <c r="E353" s="334"/>
      <c r="F353" s="335" t="s">
        <v>2728</v>
      </c>
      <c r="G353" s="268" t="s">
        <v>2729</v>
      </c>
      <c r="H353" s="335"/>
      <c r="I353" s="266"/>
      <c r="J353" s="269"/>
      <c r="K353" s="269" t="s">
        <v>83</v>
      </c>
      <c r="L353" s="266" t="s">
        <v>572</v>
      </c>
      <c r="M353" s="273">
        <v>2828000</v>
      </c>
      <c r="N353" s="273">
        <v>3110800</v>
      </c>
      <c r="O353" s="266"/>
      <c r="P353" s="373">
        <v>45107</v>
      </c>
      <c r="Q353" s="266"/>
      <c r="R353" s="271">
        <v>0.4</v>
      </c>
      <c r="S353" s="273">
        <f>3110800-1800000</f>
        <v>1310800</v>
      </c>
      <c r="T353" s="589"/>
      <c r="U353" s="274">
        <f>(M353-3000*24)*0.62</f>
        <v>1708720</v>
      </c>
      <c r="V353" s="274">
        <f t="shared" si="33"/>
        <v>397920</v>
      </c>
      <c r="W353" s="266"/>
    </row>
    <row r="354" spans="1:23" s="272" customFormat="1" ht="47.25" x14ac:dyDescent="0.25">
      <c r="A354" s="266">
        <v>344</v>
      </c>
      <c r="B354" s="373">
        <v>44015</v>
      </c>
      <c r="C354" s="334" t="s">
        <v>857</v>
      </c>
      <c r="D354" s="334" t="s">
        <v>309</v>
      </c>
      <c r="E354" s="334"/>
      <c r="F354" s="335" t="s">
        <v>859</v>
      </c>
      <c r="G354" s="268" t="s">
        <v>4719</v>
      </c>
      <c r="H354" s="335"/>
      <c r="I354" s="266"/>
      <c r="J354" s="269"/>
      <c r="K354" s="269" t="s">
        <v>83</v>
      </c>
      <c r="L354" s="266" t="s">
        <v>572</v>
      </c>
      <c r="M354" s="273">
        <v>2828000</v>
      </c>
      <c r="N354" s="273">
        <v>3110800</v>
      </c>
      <c r="O354" s="266"/>
      <c r="P354" s="373">
        <v>45107</v>
      </c>
      <c r="Q354" s="266"/>
      <c r="R354" s="271">
        <v>0.4</v>
      </c>
      <c r="S354" s="273">
        <f>(M354-3000*36)*40%</f>
        <v>1088000</v>
      </c>
      <c r="T354" s="589"/>
      <c r="U354" s="274">
        <f>(M354-3000*24)*0.62</f>
        <v>1708720</v>
      </c>
      <c r="V354" s="274">
        <f t="shared" si="33"/>
        <v>620720</v>
      </c>
      <c r="W354" s="266"/>
    </row>
    <row r="355" spans="1:23" ht="31.5" x14ac:dyDescent="0.25">
      <c r="A355" s="19">
        <v>345</v>
      </c>
      <c r="B355" s="22">
        <v>44015</v>
      </c>
      <c r="C355" s="233" t="s">
        <v>4035</v>
      </c>
      <c r="D355" s="233" t="s">
        <v>4036</v>
      </c>
      <c r="E355" s="233"/>
      <c r="F355" s="101" t="s">
        <v>4034</v>
      </c>
      <c r="G355" s="157" t="s">
        <v>4720</v>
      </c>
      <c r="H355" s="101"/>
      <c r="I355" s="19"/>
      <c r="J355" s="10"/>
      <c r="K355" s="10" t="s">
        <v>83</v>
      </c>
      <c r="L355" s="19" t="s">
        <v>572</v>
      </c>
      <c r="M355" s="214">
        <v>2828000</v>
      </c>
      <c r="N355" s="214">
        <v>3110800</v>
      </c>
      <c r="O355" s="19"/>
      <c r="P355" s="22">
        <v>45107</v>
      </c>
      <c r="Q355" s="19"/>
      <c r="R355" s="165">
        <v>0.4</v>
      </c>
      <c r="S355" s="214">
        <f>(M355-3000*36)*40%</f>
        <v>1088000</v>
      </c>
      <c r="T355" s="26"/>
      <c r="U355" s="220">
        <f>(M355-3000*24)*0.62</f>
        <v>1708720</v>
      </c>
      <c r="V355" s="220">
        <f>U355-S355</f>
        <v>620720</v>
      </c>
      <c r="W355" s="19"/>
    </row>
    <row r="356" spans="1:23" s="272" customFormat="1" ht="31.5" x14ac:dyDescent="0.25">
      <c r="A356" s="266">
        <v>346</v>
      </c>
      <c r="B356" s="373">
        <v>44018</v>
      </c>
      <c r="C356" s="334" t="s">
        <v>4836</v>
      </c>
      <c r="D356" s="334" t="s">
        <v>1907</v>
      </c>
      <c r="E356" s="334"/>
      <c r="F356" s="335" t="s">
        <v>4837</v>
      </c>
      <c r="G356" s="268" t="s">
        <v>4838</v>
      </c>
      <c r="H356" s="335" t="s">
        <v>4839</v>
      </c>
      <c r="I356" s="266" t="s">
        <v>4840</v>
      </c>
      <c r="J356" s="269"/>
      <c r="K356" s="269" t="s">
        <v>1430</v>
      </c>
      <c r="L356" s="266" t="s">
        <v>572</v>
      </c>
      <c r="M356" s="415">
        <v>2643000</v>
      </c>
      <c r="N356" s="415">
        <v>2907300</v>
      </c>
      <c r="O356" s="266"/>
      <c r="P356" s="373">
        <v>45113</v>
      </c>
      <c r="Q356" s="266"/>
      <c r="R356" s="271">
        <v>0.4</v>
      </c>
      <c r="S356" s="273">
        <f>(M356-3000*36)*40%</f>
        <v>1014000</v>
      </c>
      <c r="T356" s="589"/>
      <c r="U356" s="274">
        <f>(M356-3000*24)*0.62</f>
        <v>1594020</v>
      </c>
      <c r="V356" s="274">
        <f>U356-S356</f>
        <v>580020</v>
      </c>
      <c r="W356" s="266"/>
    </row>
    <row r="357" spans="1:23" s="272" customFormat="1" ht="47.25" x14ac:dyDescent="0.25">
      <c r="A357" s="266">
        <v>347</v>
      </c>
      <c r="B357" s="373">
        <v>44020</v>
      </c>
      <c r="C357" s="334" t="s">
        <v>4823</v>
      </c>
      <c r="D357" s="334" t="s">
        <v>309</v>
      </c>
      <c r="E357" s="334"/>
      <c r="F357" s="335" t="s">
        <v>4824</v>
      </c>
      <c r="G357" s="268" t="s">
        <v>4825</v>
      </c>
      <c r="H357" s="335"/>
      <c r="I357" s="266"/>
      <c r="J357" s="269"/>
      <c r="K357" s="269" t="s">
        <v>83</v>
      </c>
      <c r="L357" s="266" t="s">
        <v>572</v>
      </c>
      <c r="M357" s="273">
        <v>2828000</v>
      </c>
      <c r="N357" s="273">
        <v>3110800</v>
      </c>
      <c r="O357" s="266"/>
      <c r="P357" s="373">
        <v>45107</v>
      </c>
      <c r="Q357" s="266"/>
      <c r="R357" s="271">
        <v>0.4</v>
      </c>
      <c r="S357" s="273">
        <f>(M357-3000*36)*40%</f>
        <v>1088000</v>
      </c>
      <c r="T357" s="589"/>
      <c r="U357" s="274">
        <f>(M357-3000*24)*0.62</f>
        <v>1708720</v>
      </c>
      <c r="V357" s="274">
        <f t="shared" si="33"/>
        <v>620720</v>
      </c>
      <c r="W357" s="266"/>
    </row>
    <row r="358" spans="1:23" ht="63" x14ac:dyDescent="0.25">
      <c r="A358" s="19">
        <v>348</v>
      </c>
      <c r="B358" s="22">
        <v>44019</v>
      </c>
      <c r="C358" s="233" t="s">
        <v>4842</v>
      </c>
      <c r="D358" s="233" t="s">
        <v>4618</v>
      </c>
      <c r="E358" s="233"/>
      <c r="F358" s="101" t="s">
        <v>4843</v>
      </c>
      <c r="G358" s="157" t="s">
        <v>4841</v>
      </c>
      <c r="H358" s="101" t="s">
        <v>4896</v>
      </c>
      <c r="I358" s="381" t="s">
        <v>4844</v>
      </c>
      <c r="J358" s="10"/>
      <c r="K358" s="10" t="s">
        <v>1430</v>
      </c>
      <c r="L358" s="19" t="s">
        <v>572</v>
      </c>
      <c r="M358" s="364">
        <v>2643000</v>
      </c>
      <c r="N358" s="364">
        <v>2907300</v>
      </c>
      <c r="O358" s="266"/>
      <c r="P358" s="22">
        <v>45113</v>
      </c>
      <c r="Q358" s="266"/>
      <c r="R358" s="165">
        <v>0.4</v>
      </c>
      <c r="S358" s="214">
        <f t="shared" ref="S358:S420" si="35">(M358-3000*36)*40%</f>
        <v>1014000</v>
      </c>
      <c r="T358" s="26"/>
      <c r="U358" s="220">
        <f t="shared" ref="U358:U421" si="36">(M358-3000*24)*0.62</f>
        <v>1594020</v>
      </c>
      <c r="V358" s="220">
        <f t="shared" si="33"/>
        <v>580020</v>
      </c>
      <c r="W358" s="19"/>
    </row>
    <row r="359" spans="1:23" s="272" customFormat="1" ht="31.5" x14ac:dyDescent="0.25">
      <c r="A359" s="266">
        <v>349</v>
      </c>
      <c r="B359" s="373">
        <v>44020</v>
      </c>
      <c r="C359" s="334" t="s">
        <v>4845</v>
      </c>
      <c r="D359" s="334" t="s">
        <v>562</v>
      </c>
      <c r="E359" s="334"/>
      <c r="F359" s="335" t="s">
        <v>4847</v>
      </c>
      <c r="G359" s="268" t="s">
        <v>4846</v>
      </c>
      <c r="H359" s="335" t="s">
        <v>4848</v>
      </c>
      <c r="I359" s="622" t="s">
        <v>4849</v>
      </c>
      <c r="J359" s="269"/>
      <c r="K359" s="269" t="s">
        <v>1430</v>
      </c>
      <c r="L359" s="266" t="s">
        <v>572</v>
      </c>
      <c r="M359" s="415">
        <v>2643000</v>
      </c>
      <c r="N359" s="415">
        <v>2907300</v>
      </c>
      <c r="O359" s="266"/>
      <c r="P359" s="373">
        <v>45113</v>
      </c>
      <c r="Q359" s="266"/>
      <c r="R359" s="271">
        <v>0.4</v>
      </c>
      <c r="S359" s="273">
        <f t="shared" si="35"/>
        <v>1014000</v>
      </c>
      <c r="T359" s="589" t="s">
        <v>1186</v>
      </c>
      <c r="U359" s="274">
        <f t="shared" si="36"/>
        <v>1594020</v>
      </c>
      <c r="V359" s="274">
        <f t="shared" si="33"/>
        <v>580020</v>
      </c>
      <c r="W359" s="266"/>
    </row>
    <row r="360" spans="1:23" s="272" customFormat="1" ht="47.25" x14ac:dyDescent="0.25">
      <c r="A360" s="266">
        <v>350</v>
      </c>
      <c r="B360" s="373">
        <v>44020</v>
      </c>
      <c r="C360" s="334" t="s">
        <v>4850</v>
      </c>
      <c r="D360" s="334" t="s">
        <v>502</v>
      </c>
      <c r="E360" s="334"/>
      <c r="F360" s="335" t="s">
        <v>4852</v>
      </c>
      <c r="G360" s="268" t="s">
        <v>4851</v>
      </c>
      <c r="H360" s="504" t="s">
        <v>4853</v>
      </c>
      <c r="I360" s="622" t="s">
        <v>4854</v>
      </c>
      <c r="J360" s="269"/>
      <c r="K360" s="269" t="s">
        <v>83</v>
      </c>
      <c r="L360" s="266" t="s">
        <v>572</v>
      </c>
      <c r="M360" s="273">
        <v>2828000</v>
      </c>
      <c r="N360" s="273">
        <v>3110800</v>
      </c>
      <c r="O360" s="266"/>
      <c r="P360" s="373">
        <v>45107</v>
      </c>
      <c r="Q360" s="266"/>
      <c r="R360" s="271">
        <v>0.4</v>
      </c>
      <c r="S360" s="273">
        <f t="shared" si="35"/>
        <v>1088000</v>
      </c>
      <c r="T360" s="589"/>
      <c r="U360" s="274">
        <f t="shared" si="36"/>
        <v>1708720</v>
      </c>
      <c r="V360" s="274">
        <f t="shared" si="33"/>
        <v>620720</v>
      </c>
      <c r="W360" s="266"/>
    </row>
    <row r="361" spans="1:23" s="272" customFormat="1" ht="31.5" x14ac:dyDescent="0.25">
      <c r="A361" s="266">
        <v>351</v>
      </c>
      <c r="B361" s="373">
        <v>44020</v>
      </c>
      <c r="C361" s="334" t="s">
        <v>4855</v>
      </c>
      <c r="D361" s="334" t="s">
        <v>4856</v>
      </c>
      <c r="E361" s="334"/>
      <c r="F361" s="335" t="s">
        <v>4857</v>
      </c>
      <c r="G361" s="268" t="s">
        <v>4858</v>
      </c>
      <c r="H361" s="335"/>
      <c r="I361" s="266"/>
      <c r="J361" s="269"/>
      <c r="K361" s="269" t="s">
        <v>83</v>
      </c>
      <c r="L361" s="266" t="s">
        <v>572</v>
      </c>
      <c r="M361" s="273">
        <v>2828000</v>
      </c>
      <c r="N361" s="273">
        <v>3110800</v>
      </c>
      <c r="O361" s="266"/>
      <c r="P361" s="373">
        <v>45107</v>
      </c>
      <c r="Q361" s="266"/>
      <c r="R361" s="271">
        <v>0.4</v>
      </c>
      <c r="S361" s="273">
        <f t="shared" si="35"/>
        <v>1088000</v>
      </c>
      <c r="T361" s="589"/>
      <c r="U361" s="274">
        <f t="shared" si="36"/>
        <v>1708720</v>
      </c>
      <c r="V361" s="274">
        <f t="shared" si="33"/>
        <v>620720</v>
      </c>
      <c r="W361" s="266"/>
    </row>
    <row r="362" spans="1:23" ht="47.25" x14ac:dyDescent="0.25">
      <c r="A362" s="19">
        <v>352</v>
      </c>
      <c r="B362" s="22">
        <v>44021</v>
      </c>
      <c r="C362" s="233" t="s">
        <v>4859</v>
      </c>
      <c r="D362" s="233" t="s">
        <v>4862</v>
      </c>
      <c r="E362" s="233"/>
      <c r="F362" s="101" t="s">
        <v>4860</v>
      </c>
      <c r="G362" s="157" t="s">
        <v>4861</v>
      </c>
      <c r="H362" s="101" t="s">
        <v>4863</v>
      </c>
      <c r="I362" s="19"/>
      <c r="J362" s="10"/>
      <c r="K362" s="10" t="s">
        <v>83</v>
      </c>
      <c r="L362" s="19" t="s">
        <v>572</v>
      </c>
      <c r="M362" s="214">
        <v>2828000</v>
      </c>
      <c r="N362" s="214">
        <v>3110800</v>
      </c>
      <c r="O362" s="19"/>
      <c r="P362" s="22">
        <v>45107</v>
      </c>
      <c r="Q362" s="19"/>
      <c r="R362" s="165">
        <v>0.4</v>
      </c>
      <c r="S362" s="214">
        <f t="shared" si="35"/>
        <v>1088000</v>
      </c>
      <c r="T362" s="26"/>
      <c r="U362" s="220">
        <f t="shared" si="36"/>
        <v>1708720</v>
      </c>
      <c r="V362" s="220">
        <f t="shared" si="33"/>
        <v>620720</v>
      </c>
      <c r="W362" s="19" t="s">
        <v>4867</v>
      </c>
    </row>
    <row r="363" spans="1:23" ht="47.25" x14ac:dyDescent="0.25">
      <c r="A363" s="19">
        <v>353</v>
      </c>
      <c r="B363" s="22">
        <v>44021</v>
      </c>
      <c r="C363" s="233" t="s">
        <v>4864</v>
      </c>
      <c r="D363" s="233" t="s">
        <v>4862</v>
      </c>
      <c r="E363" s="233"/>
      <c r="F363" s="101" t="s">
        <v>4865</v>
      </c>
      <c r="G363" s="157" t="s">
        <v>4866</v>
      </c>
      <c r="H363" s="101" t="s">
        <v>4863</v>
      </c>
      <c r="I363" s="19"/>
      <c r="J363" s="10"/>
      <c r="K363" s="10" t="s">
        <v>83</v>
      </c>
      <c r="L363" s="19" t="s">
        <v>572</v>
      </c>
      <c r="M363" s="214">
        <v>2828000</v>
      </c>
      <c r="N363" s="214">
        <v>3110800</v>
      </c>
      <c r="O363" s="19"/>
      <c r="P363" s="22">
        <v>45107</v>
      </c>
      <c r="Q363" s="19"/>
      <c r="R363" s="165">
        <v>0.4</v>
      </c>
      <c r="S363" s="214">
        <f t="shared" si="35"/>
        <v>1088000</v>
      </c>
      <c r="T363" s="26"/>
      <c r="U363" s="220">
        <f t="shared" si="36"/>
        <v>1708720</v>
      </c>
      <c r="V363" s="220">
        <f t="shared" si="33"/>
        <v>620720</v>
      </c>
      <c r="W363" s="19" t="s">
        <v>4867</v>
      </c>
    </row>
    <row r="364" spans="1:23" s="272" customFormat="1" ht="47.25" x14ac:dyDescent="0.25">
      <c r="A364" s="266">
        <v>354</v>
      </c>
      <c r="B364" s="373">
        <v>44022</v>
      </c>
      <c r="C364" s="334" t="s">
        <v>4868</v>
      </c>
      <c r="D364" s="334" t="s">
        <v>309</v>
      </c>
      <c r="E364" s="334"/>
      <c r="F364" s="335" t="s">
        <v>4869</v>
      </c>
      <c r="G364" s="268" t="s">
        <v>4152</v>
      </c>
      <c r="H364" s="335"/>
      <c r="I364" s="266"/>
      <c r="J364" s="269"/>
      <c r="K364" s="269" t="s">
        <v>83</v>
      </c>
      <c r="L364" s="266" t="s">
        <v>572</v>
      </c>
      <c r="M364" s="273">
        <v>2828000</v>
      </c>
      <c r="N364" s="273">
        <v>3110800</v>
      </c>
      <c r="O364" s="266"/>
      <c r="P364" s="373">
        <v>45107</v>
      </c>
      <c r="Q364" s="266"/>
      <c r="R364" s="271">
        <v>0.4</v>
      </c>
      <c r="S364" s="273">
        <f t="shared" si="35"/>
        <v>1088000</v>
      </c>
      <c r="T364" s="589"/>
      <c r="U364" s="274">
        <f t="shared" si="36"/>
        <v>1708720</v>
      </c>
      <c r="V364" s="274">
        <f t="shared" si="33"/>
        <v>620720</v>
      </c>
      <c r="W364" s="266"/>
    </row>
    <row r="365" spans="1:23" s="272" customFormat="1" ht="47.25" x14ac:dyDescent="0.25">
      <c r="A365" s="266">
        <v>355</v>
      </c>
      <c r="B365" s="373">
        <v>44022</v>
      </c>
      <c r="C365" s="334" t="s">
        <v>4871</v>
      </c>
      <c r="D365" s="334" t="s">
        <v>1686</v>
      </c>
      <c r="E365" s="334"/>
      <c r="F365" s="335" t="s">
        <v>4870</v>
      </c>
      <c r="G365" s="268" t="s">
        <v>4872</v>
      </c>
      <c r="H365" s="335"/>
      <c r="I365" s="266"/>
      <c r="J365" s="269"/>
      <c r="K365" s="269" t="s">
        <v>1430</v>
      </c>
      <c r="L365" s="266" t="s">
        <v>572</v>
      </c>
      <c r="M365" s="415">
        <v>2643000</v>
      </c>
      <c r="N365" s="415">
        <v>2907300</v>
      </c>
      <c r="O365" s="266"/>
      <c r="P365" s="373">
        <v>45113</v>
      </c>
      <c r="Q365" s="266"/>
      <c r="R365" s="271">
        <v>0.47</v>
      </c>
      <c r="S365" s="273">
        <f>(M365-3000*36)*47%</f>
        <v>1191450</v>
      </c>
      <c r="T365" s="589"/>
      <c r="U365" s="274">
        <f t="shared" si="36"/>
        <v>1594020</v>
      </c>
      <c r="V365" s="274">
        <f t="shared" si="33"/>
        <v>402570</v>
      </c>
      <c r="W365" s="266"/>
    </row>
    <row r="366" spans="1:23" s="272" customFormat="1" ht="63" x14ac:dyDescent="0.25">
      <c r="A366" s="266">
        <v>356</v>
      </c>
      <c r="B366" s="373">
        <v>44025</v>
      </c>
      <c r="C366" s="334" t="s">
        <v>2836</v>
      </c>
      <c r="D366" s="334" t="s">
        <v>309</v>
      </c>
      <c r="E366" s="334"/>
      <c r="F366" s="335" t="s">
        <v>2837</v>
      </c>
      <c r="G366" s="268" t="s">
        <v>2838</v>
      </c>
      <c r="H366" s="335"/>
      <c r="I366" s="266"/>
      <c r="J366" s="269"/>
      <c r="K366" s="269" t="s">
        <v>83</v>
      </c>
      <c r="L366" s="266" t="s">
        <v>572</v>
      </c>
      <c r="M366" s="273">
        <v>2828000</v>
      </c>
      <c r="N366" s="273">
        <v>3110800</v>
      </c>
      <c r="O366" s="266"/>
      <c r="P366" s="373">
        <v>45107</v>
      </c>
      <c r="Q366" s="266"/>
      <c r="R366" s="271">
        <v>0.4</v>
      </c>
      <c r="S366" s="273">
        <f t="shared" si="35"/>
        <v>1088000</v>
      </c>
      <c r="T366" s="589"/>
      <c r="U366" s="274">
        <f t="shared" si="36"/>
        <v>1708720</v>
      </c>
      <c r="V366" s="274">
        <f t="shared" si="33"/>
        <v>620720</v>
      </c>
      <c r="W366" s="266"/>
    </row>
    <row r="367" spans="1:23" ht="47.25" x14ac:dyDescent="0.25">
      <c r="A367" s="266">
        <v>357</v>
      </c>
      <c r="B367" s="22">
        <v>44026</v>
      </c>
      <c r="C367" s="233" t="s">
        <v>2267</v>
      </c>
      <c r="D367" s="233" t="s">
        <v>984</v>
      </c>
      <c r="E367" s="233"/>
      <c r="F367" s="101" t="s">
        <v>2268</v>
      </c>
      <c r="G367" s="157" t="s">
        <v>4873</v>
      </c>
      <c r="H367" s="101"/>
      <c r="I367" s="19"/>
      <c r="J367" s="10"/>
      <c r="K367" s="269" t="s">
        <v>83</v>
      </c>
      <c r="L367" s="266" t="s">
        <v>572</v>
      </c>
      <c r="M367" s="273">
        <v>2828000</v>
      </c>
      <c r="N367" s="273">
        <v>3110800</v>
      </c>
      <c r="O367" s="266"/>
      <c r="P367" s="373">
        <v>45107</v>
      </c>
      <c r="Q367" s="266"/>
      <c r="R367" s="271">
        <v>0.4</v>
      </c>
      <c r="S367" s="273">
        <f t="shared" si="35"/>
        <v>1088000</v>
      </c>
      <c r="T367" s="26"/>
      <c r="U367" s="274">
        <f t="shared" si="36"/>
        <v>1708720</v>
      </c>
      <c r="V367" s="220">
        <f t="shared" si="33"/>
        <v>620720</v>
      </c>
      <c r="W367" s="19" t="s">
        <v>3249</v>
      </c>
    </row>
    <row r="368" spans="1:23" ht="47.25" x14ac:dyDescent="0.25">
      <c r="A368" s="266">
        <v>358</v>
      </c>
      <c r="B368" s="22">
        <v>44026</v>
      </c>
      <c r="C368" s="233" t="s">
        <v>2349</v>
      </c>
      <c r="D368" s="233"/>
      <c r="E368" s="233"/>
      <c r="F368" s="101" t="s">
        <v>2350</v>
      </c>
      <c r="G368" s="157" t="s">
        <v>2351</v>
      </c>
      <c r="H368" s="101"/>
      <c r="I368" s="19"/>
      <c r="J368" s="10"/>
      <c r="K368" s="269" t="s">
        <v>83</v>
      </c>
      <c r="L368" s="266" t="s">
        <v>572</v>
      </c>
      <c r="M368" s="273">
        <v>2828000</v>
      </c>
      <c r="N368" s="273">
        <v>3110800</v>
      </c>
      <c r="O368" s="266"/>
      <c r="P368" s="373">
        <v>45107</v>
      </c>
      <c r="Q368" s="266"/>
      <c r="R368" s="271">
        <v>0.4</v>
      </c>
      <c r="S368" s="273">
        <f t="shared" si="35"/>
        <v>1088000</v>
      </c>
      <c r="T368" s="26"/>
      <c r="U368" s="274">
        <f t="shared" si="36"/>
        <v>1708720</v>
      </c>
      <c r="V368" s="220">
        <f t="shared" si="33"/>
        <v>620720</v>
      </c>
      <c r="W368" s="19" t="s">
        <v>3249</v>
      </c>
    </row>
    <row r="369" spans="1:23" s="272" customFormat="1" ht="47.25" x14ac:dyDescent="0.25">
      <c r="A369" s="266">
        <v>359</v>
      </c>
      <c r="B369" s="373">
        <v>44028</v>
      </c>
      <c r="C369" s="334" t="s">
        <v>4250</v>
      </c>
      <c r="D369" s="334" t="s">
        <v>309</v>
      </c>
      <c r="E369" s="334"/>
      <c r="F369" s="335" t="s">
        <v>4249</v>
      </c>
      <c r="G369" s="268" t="s">
        <v>4251</v>
      </c>
      <c r="H369" s="335"/>
      <c r="I369" s="266"/>
      <c r="J369" s="269"/>
      <c r="K369" s="269" t="s">
        <v>83</v>
      </c>
      <c r="L369" s="266" t="s">
        <v>572</v>
      </c>
      <c r="M369" s="273">
        <v>2828000</v>
      </c>
      <c r="N369" s="273">
        <v>3110800</v>
      </c>
      <c r="O369" s="266"/>
      <c r="P369" s="373">
        <v>45107</v>
      </c>
      <c r="Q369" s="266"/>
      <c r="R369" s="271">
        <v>0.4</v>
      </c>
      <c r="S369" s="273">
        <f t="shared" si="35"/>
        <v>1088000</v>
      </c>
      <c r="T369" s="589"/>
      <c r="U369" s="274">
        <f t="shared" si="36"/>
        <v>1708720</v>
      </c>
      <c r="V369" s="274">
        <f t="shared" si="33"/>
        <v>620720</v>
      </c>
      <c r="W369" s="266"/>
    </row>
    <row r="370" spans="1:23" s="647" customFormat="1" ht="47.25" x14ac:dyDescent="0.25">
      <c r="A370" s="639">
        <v>360</v>
      </c>
      <c r="B370" s="640">
        <v>44028</v>
      </c>
      <c r="C370" s="641" t="s">
        <v>4874</v>
      </c>
      <c r="D370" s="641" t="s">
        <v>309</v>
      </c>
      <c r="E370" s="641"/>
      <c r="F370" s="642" t="s">
        <v>4876</v>
      </c>
      <c r="G370" s="643" t="s">
        <v>4875</v>
      </c>
      <c r="H370" s="642"/>
      <c r="I370" s="639"/>
      <c r="J370" s="639"/>
      <c r="K370" s="639" t="s">
        <v>83</v>
      </c>
      <c r="L370" s="639" t="s">
        <v>572</v>
      </c>
      <c r="M370" s="644">
        <v>2828000</v>
      </c>
      <c r="N370" s="644">
        <v>3110800</v>
      </c>
      <c r="O370" s="639"/>
      <c r="P370" s="640">
        <v>45107</v>
      </c>
      <c r="Q370" s="639"/>
      <c r="R370" s="645">
        <v>0.4</v>
      </c>
      <c r="S370" s="644">
        <f t="shared" si="35"/>
        <v>1088000</v>
      </c>
      <c r="T370" s="646"/>
      <c r="U370" s="639">
        <f t="shared" si="36"/>
        <v>1708720</v>
      </c>
      <c r="V370" s="639">
        <f t="shared" si="33"/>
        <v>620720</v>
      </c>
      <c r="W370" s="639"/>
    </row>
    <row r="371" spans="1:23" s="272" customFormat="1" ht="47.25" x14ac:dyDescent="0.25">
      <c r="A371" s="266">
        <v>361</v>
      </c>
      <c r="B371" s="373">
        <v>44028</v>
      </c>
      <c r="C371" s="334" t="s">
        <v>4877</v>
      </c>
      <c r="D371" s="334" t="s">
        <v>309</v>
      </c>
      <c r="E371" s="334"/>
      <c r="F371" s="335" t="s">
        <v>4879</v>
      </c>
      <c r="G371" s="268" t="s">
        <v>4878</v>
      </c>
      <c r="H371" s="335"/>
      <c r="I371" s="266"/>
      <c r="J371" s="269"/>
      <c r="K371" s="269" t="s">
        <v>83</v>
      </c>
      <c r="L371" s="266" t="s">
        <v>572</v>
      </c>
      <c r="M371" s="273">
        <v>2828000</v>
      </c>
      <c r="N371" s="273">
        <v>3110800</v>
      </c>
      <c r="O371" s="266"/>
      <c r="P371" s="373">
        <v>45107</v>
      </c>
      <c r="Q371" s="266"/>
      <c r="R371" s="271">
        <v>0.4</v>
      </c>
      <c r="S371" s="273">
        <f t="shared" si="35"/>
        <v>1088000</v>
      </c>
      <c r="T371" s="589"/>
      <c r="U371" s="274">
        <f t="shared" si="36"/>
        <v>1708720</v>
      </c>
      <c r="V371" s="274">
        <f t="shared" si="33"/>
        <v>620720</v>
      </c>
      <c r="W371" s="266"/>
    </row>
    <row r="372" spans="1:23" s="272" customFormat="1" ht="47.25" x14ac:dyDescent="0.25">
      <c r="A372" s="266">
        <v>362</v>
      </c>
      <c r="B372" s="373">
        <v>44028</v>
      </c>
      <c r="C372" s="334" t="s">
        <v>4880</v>
      </c>
      <c r="D372" s="334" t="s">
        <v>502</v>
      </c>
      <c r="E372" s="334"/>
      <c r="F372" s="335" t="s">
        <v>4882</v>
      </c>
      <c r="G372" s="268" t="s">
        <v>4881</v>
      </c>
      <c r="H372" s="504" t="s">
        <v>4883</v>
      </c>
      <c r="I372" s="266"/>
      <c r="J372" s="269"/>
      <c r="K372" s="269" t="s">
        <v>83</v>
      </c>
      <c r="L372" s="266" t="s">
        <v>572</v>
      </c>
      <c r="M372" s="273">
        <v>2828000</v>
      </c>
      <c r="N372" s="273">
        <v>3110800</v>
      </c>
      <c r="O372" s="266"/>
      <c r="P372" s="373">
        <v>45107</v>
      </c>
      <c r="Q372" s="266"/>
      <c r="R372" s="271">
        <v>0.4</v>
      </c>
      <c r="S372" s="273">
        <f t="shared" si="35"/>
        <v>1088000</v>
      </c>
      <c r="T372" s="589"/>
      <c r="U372" s="274">
        <f t="shared" si="36"/>
        <v>1708720</v>
      </c>
      <c r="V372" s="274">
        <f t="shared" si="33"/>
        <v>620720</v>
      </c>
      <c r="W372" s="266"/>
    </row>
    <row r="373" spans="1:23" s="272" customFormat="1" ht="47.25" x14ac:dyDescent="0.25">
      <c r="A373" s="266">
        <v>363</v>
      </c>
      <c r="B373" s="373">
        <v>44028</v>
      </c>
      <c r="C373" s="334" t="s">
        <v>4884</v>
      </c>
      <c r="D373" s="334" t="s">
        <v>309</v>
      </c>
      <c r="E373" s="334"/>
      <c r="F373" s="335" t="s">
        <v>4885</v>
      </c>
      <c r="G373" s="268" t="s">
        <v>4886</v>
      </c>
      <c r="H373" s="335"/>
      <c r="I373" s="266"/>
      <c r="J373" s="269"/>
      <c r="K373" s="269" t="s">
        <v>83</v>
      </c>
      <c r="L373" s="266" t="s">
        <v>572</v>
      </c>
      <c r="M373" s="273">
        <v>2828000</v>
      </c>
      <c r="N373" s="273">
        <v>3110800</v>
      </c>
      <c r="O373" s="266"/>
      <c r="P373" s="373">
        <v>45107</v>
      </c>
      <c r="Q373" s="266"/>
      <c r="R373" s="271">
        <v>0.4</v>
      </c>
      <c r="S373" s="273">
        <f t="shared" si="35"/>
        <v>1088000</v>
      </c>
      <c r="T373" s="589"/>
      <c r="U373" s="274">
        <f t="shared" si="36"/>
        <v>1708720</v>
      </c>
      <c r="V373" s="274">
        <f t="shared" si="33"/>
        <v>620720</v>
      </c>
      <c r="W373" s="266"/>
    </row>
    <row r="374" spans="1:23" s="272" customFormat="1" ht="63" x14ac:dyDescent="0.25">
      <c r="A374" s="266">
        <v>364</v>
      </c>
      <c r="B374" s="373">
        <v>44028</v>
      </c>
      <c r="C374" s="334" t="s">
        <v>4887</v>
      </c>
      <c r="D374" s="334" t="s">
        <v>474</v>
      </c>
      <c r="E374" s="334"/>
      <c r="F374" s="335" t="s">
        <v>4889</v>
      </c>
      <c r="G374" s="268" t="s">
        <v>4888</v>
      </c>
      <c r="H374" s="335"/>
      <c r="I374" s="266"/>
      <c r="J374" s="269"/>
      <c r="K374" s="269" t="s">
        <v>83</v>
      </c>
      <c r="L374" s="266" t="s">
        <v>572</v>
      </c>
      <c r="M374" s="273">
        <v>2828000</v>
      </c>
      <c r="N374" s="273">
        <v>3110800</v>
      </c>
      <c r="O374" s="266"/>
      <c r="P374" s="373">
        <v>45107</v>
      </c>
      <c r="Q374" s="266"/>
      <c r="R374" s="271">
        <v>0.4</v>
      </c>
      <c r="S374" s="273">
        <f t="shared" si="35"/>
        <v>1088000</v>
      </c>
      <c r="T374" s="589"/>
      <c r="U374" s="274">
        <f t="shared" si="36"/>
        <v>1708720</v>
      </c>
      <c r="V374" s="274">
        <f t="shared" si="33"/>
        <v>620720</v>
      </c>
      <c r="W374" s="266"/>
    </row>
    <row r="375" spans="1:23" s="272" customFormat="1" ht="47.25" x14ac:dyDescent="0.25">
      <c r="A375" s="266">
        <v>365</v>
      </c>
      <c r="B375" s="373">
        <v>44029</v>
      </c>
      <c r="C375" s="334" t="s">
        <v>4890</v>
      </c>
      <c r="D375" s="334" t="s">
        <v>309</v>
      </c>
      <c r="E375" s="334"/>
      <c r="F375" s="335" t="s">
        <v>4892</v>
      </c>
      <c r="G375" s="268" t="s">
        <v>4891</v>
      </c>
      <c r="H375" s="335"/>
      <c r="I375" s="266"/>
      <c r="J375" s="269"/>
      <c r="K375" s="269" t="s">
        <v>83</v>
      </c>
      <c r="L375" s="266" t="s">
        <v>572</v>
      </c>
      <c r="M375" s="273">
        <v>2828000</v>
      </c>
      <c r="N375" s="273">
        <v>3110800</v>
      </c>
      <c r="O375" s="266"/>
      <c r="P375" s="373">
        <v>45107</v>
      </c>
      <c r="Q375" s="266"/>
      <c r="R375" s="271">
        <v>0.4</v>
      </c>
      <c r="S375" s="273">
        <f t="shared" si="35"/>
        <v>1088000</v>
      </c>
      <c r="T375" s="589"/>
      <c r="U375" s="274">
        <f t="shared" si="36"/>
        <v>1708720</v>
      </c>
      <c r="V375" s="274">
        <f t="shared" si="33"/>
        <v>620720</v>
      </c>
      <c r="W375" s="266"/>
    </row>
    <row r="376" spans="1:23" ht="47.25" x14ac:dyDescent="0.25">
      <c r="A376" s="19">
        <v>366</v>
      </c>
      <c r="B376" s="22">
        <v>44032</v>
      </c>
      <c r="C376" s="233" t="s">
        <v>5179</v>
      </c>
      <c r="D376" s="233" t="s">
        <v>562</v>
      </c>
      <c r="E376" s="233"/>
      <c r="F376" s="101" t="s">
        <v>5181</v>
      </c>
      <c r="G376" s="157" t="s">
        <v>5180</v>
      </c>
      <c r="H376" s="101" t="s">
        <v>5182</v>
      </c>
      <c r="I376" s="152" t="s">
        <v>5183</v>
      </c>
      <c r="J376" s="10"/>
      <c r="K376" s="10" t="s">
        <v>1430</v>
      </c>
      <c r="L376" s="19" t="s">
        <v>572</v>
      </c>
      <c r="M376" s="364">
        <v>2643000</v>
      </c>
      <c r="N376" s="364">
        <v>2907300</v>
      </c>
      <c r="O376" s="19"/>
      <c r="P376" s="22">
        <v>45127</v>
      </c>
      <c r="Q376" s="19"/>
      <c r="R376" s="165">
        <v>0.4</v>
      </c>
      <c r="S376" s="214">
        <f t="shared" si="35"/>
        <v>1014000</v>
      </c>
      <c r="T376" s="26">
        <v>507300</v>
      </c>
      <c r="U376" s="220">
        <f t="shared" si="36"/>
        <v>1594020</v>
      </c>
      <c r="V376" s="220">
        <f t="shared" si="33"/>
        <v>580020</v>
      </c>
      <c r="W376" s="19" t="s">
        <v>5187</v>
      </c>
    </row>
    <row r="377" spans="1:23" ht="63" x14ac:dyDescent="0.25">
      <c r="A377" s="19">
        <v>367</v>
      </c>
      <c r="B377" s="22">
        <v>44033</v>
      </c>
      <c r="C377" s="233" t="s">
        <v>5184</v>
      </c>
      <c r="D377" s="233" t="s">
        <v>309</v>
      </c>
      <c r="E377" s="233"/>
      <c r="F377" s="101" t="s">
        <v>5185</v>
      </c>
      <c r="G377" s="157" t="s">
        <v>5186</v>
      </c>
      <c r="H377" s="101"/>
      <c r="I377" s="19"/>
      <c r="J377" s="10"/>
      <c r="K377" s="10" t="s">
        <v>83</v>
      </c>
      <c r="L377" s="19" t="s">
        <v>572</v>
      </c>
      <c r="M377" s="214">
        <v>2828000</v>
      </c>
      <c r="N377" s="214">
        <v>3110800</v>
      </c>
      <c r="O377" s="19"/>
      <c r="P377" s="22">
        <v>45128</v>
      </c>
      <c r="Q377" s="19"/>
      <c r="R377" s="165">
        <v>0.5</v>
      </c>
      <c r="S377" s="214">
        <f>(M377-3000*36)*50%</f>
        <v>1360000</v>
      </c>
      <c r="T377" s="26"/>
      <c r="U377" s="220">
        <f t="shared" si="36"/>
        <v>1708720</v>
      </c>
      <c r="V377" s="220">
        <f t="shared" si="33"/>
        <v>348720</v>
      </c>
      <c r="W377" s="19" t="s">
        <v>5188</v>
      </c>
    </row>
    <row r="378" spans="1:23" ht="63" x14ac:dyDescent="0.25">
      <c r="A378" s="19">
        <v>367</v>
      </c>
      <c r="B378" s="22">
        <v>44033</v>
      </c>
      <c r="C378" s="233" t="s">
        <v>5184</v>
      </c>
      <c r="D378" s="233" t="s">
        <v>309</v>
      </c>
      <c r="E378" s="233"/>
      <c r="F378" s="101" t="s">
        <v>5185</v>
      </c>
      <c r="G378" s="157" t="s">
        <v>5186</v>
      </c>
      <c r="H378" s="101"/>
      <c r="I378" s="19"/>
      <c r="J378" s="10"/>
      <c r="K378" s="10" t="s">
        <v>83</v>
      </c>
      <c r="L378" s="19" t="s">
        <v>572</v>
      </c>
      <c r="M378" s="214">
        <v>2828000</v>
      </c>
      <c r="N378" s="214">
        <v>3110800</v>
      </c>
      <c r="O378" s="19"/>
      <c r="P378" s="22">
        <v>45128</v>
      </c>
      <c r="Q378" s="19"/>
      <c r="R378" s="165">
        <v>0.5</v>
      </c>
      <c r="S378" s="214">
        <f>(M378-3000*36)*50%</f>
        <v>1360000</v>
      </c>
      <c r="T378" s="26"/>
      <c r="U378" s="220">
        <f t="shared" ref="U378:U379" si="37">(M378-3000*24)*0.62</f>
        <v>1708720</v>
      </c>
      <c r="V378" s="220">
        <f t="shared" ref="V378:V379" si="38">U378-S378</f>
        <v>348720</v>
      </c>
      <c r="W378" s="19" t="s">
        <v>5188</v>
      </c>
    </row>
    <row r="379" spans="1:23" ht="63" x14ac:dyDescent="0.25">
      <c r="A379" s="19">
        <v>367</v>
      </c>
      <c r="B379" s="22">
        <v>44033</v>
      </c>
      <c r="C379" s="233" t="s">
        <v>5184</v>
      </c>
      <c r="D379" s="233" t="s">
        <v>309</v>
      </c>
      <c r="E379" s="233"/>
      <c r="F379" s="101" t="s">
        <v>5185</v>
      </c>
      <c r="G379" s="157" t="s">
        <v>5186</v>
      </c>
      <c r="H379" s="101"/>
      <c r="I379" s="19"/>
      <c r="J379" s="10"/>
      <c r="K379" s="10" t="s">
        <v>83</v>
      </c>
      <c r="L379" s="19" t="s">
        <v>572</v>
      </c>
      <c r="M379" s="214">
        <v>2828000</v>
      </c>
      <c r="N379" s="214">
        <v>3110800</v>
      </c>
      <c r="O379" s="19"/>
      <c r="P379" s="22">
        <v>45128</v>
      </c>
      <c r="Q379" s="19"/>
      <c r="R379" s="165">
        <v>0.5</v>
      </c>
      <c r="S379" s="214">
        <f>(M379-3000*36)*50%</f>
        <v>1360000</v>
      </c>
      <c r="T379" s="26"/>
      <c r="U379" s="220">
        <f t="shared" si="37"/>
        <v>1708720</v>
      </c>
      <c r="V379" s="220">
        <f t="shared" si="38"/>
        <v>348720</v>
      </c>
      <c r="W379" s="19" t="s">
        <v>5188</v>
      </c>
    </row>
    <row r="380" spans="1:23" ht="31.5" x14ac:dyDescent="0.25">
      <c r="A380" s="19">
        <v>370</v>
      </c>
      <c r="B380" s="22">
        <v>44036</v>
      </c>
      <c r="C380" s="233" t="s">
        <v>5189</v>
      </c>
      <c r="D380" s="233" t="s">
        <v>502</v>
      </c>
      <c r="E380" s="233"/>
      <c r="F380" s="101" t="s">
        <v>5190</v>
      </c>
      <c r="G380" s="157" t="s">
        <v>5191</v>
      </c>
      <c r="H380" s="29" t="s">
        <v>676</v>
      </c>
      <c r="I380" s="310" t="s">
        <v>679</v>
      </c>
      <c r="J380" s="10"/>
      <c r="K380" s="10" t="s">
        <v>94</v>
      </c>
      <c r="L380" s="19" t="s">
        <v>777</v>
      </c>
      <c r="M380" s="214">
        <v>1061000</v>
      </c>
      <c r="N380" s="214">
        <v>1277100</v>
      </c>
      <c r="O380" s="19"/>
      <c r="P380" s="22">
        <v>45131</v>
      </c>
      <c r="Q380" s="19"/>
      <c r="R380" s="165">
        <v>0.4</v>
      </c>
      <c r="S380" s="214">
        <f t="shared" si="35"/>
        <v>381200</v>
      </c>
      <c r="T380" s="26"/>
      <c r="U380" s="220">
        <f t="shared" si="36"/>
        <v>613180</v>
      </c>
      <c r="V380" s="220">
        <f t="shared" si="33"/>
        <v>231980</v>
      </c>
      <c r="W380" s="19" t="s">
        <v>5192</v>
      </c>
    </row>
    <row r="381" spans="1:23" ht="63" x14ac:dyDescent="0.25">
      <c r="A381" s="19">
        <v>371</v>
      </c>
      <c r="B381" s="22">
        <v>44036</v>
      </c>
      <c r="C381" s="233" t="s">
        <v>5194</v>
      </c>
      <c r="D381" s="233" t="s">
        <v>3622</v>
      </c>
      <c r="E381" s="233"/>
      <c r="F381" s="101" t="s">
        <v>5193</v>
      </c>
      <c r="G381" s="157" t="s">
        <v>5195</v>
      </c>
      <c r="H381" s="101" t="s">
        <v>5197</v>
      </c>
      <c r="I381" s="381" t="s">
        <v>5196</v>
      </c>
      <c r="J381" s="10"/>
      <c r="K381" s="10" t="s">
        <v>94</v>
      </c>
      <c r="L381" s="19" t="s">
        <v>777</v>
      </c>
      <c r="M381" s="214">
        <v>1061000</v>
      </c>
      <c r="N381" s="214">
        <v>1277100</v>
      </c>
      <c r="O381" s="19"/>
      <c r="P381" s="22">
        <v>44401</v>
      </c>
      <c r="Q381" s="19"/>
      <c r="R381" s="165">
        <v>0.4</v>
      </c>
      <c r="S381" s="214">
        <f t="shared" si="35"/>
        <v>381200</v>
      </c>
      <c r="T381" s="26"/>
      <c r="U381" s="220">
        <f t="shared" si="36"/>
        <v>613180</v>
      </c>
      <c r="V381" s="220">
        <f t="shared" si="33"/>
        <v>231980</v>
      </c>
      <c r="W381" s="19" t="s">
        <v>7027</v>
      </c>
    </row>
    <row r="382" spans="1:23" s="272" customFormat="1" ht="47.25" x14ac:dyDescent="0.25">
      <c r="A382" s="266">
        <v>372</v>
      </c>
      <c r="B382" s="373">
        <v>44036</v>
      </c>
      <c r="C382" s="334" t="s">
        <v>3142</v>
      </c>
      <c r="D382" s="334" t="s">
        <v>510</v>
      </c>
      <c r="E382" s="334"/>
      <c r="F382" s="335" t="s">
        <v>3143</v>
      </c>
      <c r="G382" s="268" t="s">
        <v>3144</v>
      </c>
      <c r="H382" s="335"/>
      <c r="I382" s="266"/>
      <c r="J382" s="269"/>
      <c r="K382" s="269" t="s">
        <v>83</v>
      </c>
      <c r="L382" s="266" t="s">
        <v>572</v>
      </c>
      <c r="M382" s="273">
        <v>2828000</v>
      </c>
      <c r="N382" s="273">
        <v>3110800</v>
      </c>
      <c r="O382" s="266"/>
      <c r="P382" s="373">
        <v>45128</v>
      </c>
      <c r="Q382" s="266"/>
      <c r="R382" s="271">
        <v>0.4</v>
      </c>
      <c r="S382" s="273">
        <f t="shared" si="35"/>
        <v>1088000</v>
      </c>
      <c r="T382" s="589"/>
      <c r="U382" s="274">
        <f t="shared" si="36"/>
        <v>1708720</v>
      </c>
      <c r="V382" s="274">
        <f t="shared" si="33"/>
        <v>620720</v>
      </c>
      <c r="W382" s="266"/>
    </row>
    <row r="383" spans="1:23" s="272" customFormat="1" ht="47.25" x14ac:dyDescent="0.25">
      <c r="A383" s="266">
        <v>373</v>
      </c>
      <c r="B383" s="373">
        <v>44039</v>
      </c>
      <c r="C383" s="334" t="s">
        <v>5198</v>
      </c>
      <c r="D383" s="334" t="s">
        <v>474</v>
      </c>
      <c r="E383" s="334"/>
      <c r="F383" s="335" t="s">
        <v>5199</v>
      </c>
      <c r="G383" s="268" t="s">
        <v>5200</v>
      </c>
      <c r="H383" s="335"/>
      <c r="I383" s="266"/>
      <c r="J383" s="269"/>
      <c r="K383" s="269" t="s">
        <v>83</v>
      </c>
      <c r="L383" s="266" t="s">
        <v>572</v>
      </c>
      <c r="M383" s="273">
        <v>2828000</v>
      </c>
      <c r="N383" s="273">
        <v>3110800</v>
      </c>
      <c r="O383" s="266"/>
      <c r="P383" s="373">
        <v>45128</v>
      </c>
      <c r="Q383" s="266"/>
      <c r="R383" s="266"/>
      <c r="S383" s="273">
        <f t="shared" si="35"/>
        <v>1088000</v>
      </c>
      <c r="T383" s="589"/>
      <c r="U383" s="274">
        <f t="shared" si="36"/>
        <v>1708720</v>
      </c>
      <c r="V383" s="274">
        <f t="shared" si="33"/>
        <v>620720</v>
      </c>
      <c r="W383" s="266"/>
    </row>
    <row r="384" spans="1:23" s="272" customFormat="1" ht="31.5" x14ac:dyDescent="0.25">
      <c r="A384" s="266">
        <v>374</v>
      </c>
      <c r="B384" s="373">
        <v>44040</v>
      </c>
      <c r="C384" s="334" t="s">
        <v>5201</v>
      </c>
      <c r="D384" s="334" t="s">
        <v>3622</v>
      </c>
      <c r="E384" s="334"/>
      <c r="F384" s="335" t="s">
        <v>5203</v>
      </c>
      <c r="G384" s="268" t="s">
        <v>5202</v>
      </c>
      <c r="H384" s="335" t="s">
        <v>5204</v>
      </c>
      <c r="I384" s="266"/>
      <c r="J384" s="269"/>
      <c r="K384" s="269" t="s">
        <v>1430</v>
      </c>
      <c r="L384" s="266" t="s">
        <v>572</v>
      </c>
      <c r="M384" s="415">
        <v>2643000</v>
      </c>
      <c r="N384" s="415">
        <v>2907300</v>
      </c>
      <c r="O384" s="266"/>
      <c r="P384" s="373">
        <v>45135</v>
      </c>
      <c r="Q384" s="266"/>
      <c r="R384" s="266"/>
      <c r="S384" s="273">
        <f t="shared" si="35"/>
        <v>1014000</v>
      </c>
      <c r="T384" s="589"/>
      <c r="U384" s="274">
        <f t="shared" si="36"/>
        <v>1594020</v>
      </c>
      <c r="V384" s="274">
        <f t="shared" si="33"/>
        <v>580020</v>
      </c>
      <c r="W384" s="266"/>
    </row>
    <row r="385" spans="1:23" s="272" customFormat="1" ht="47.25" x14ac:dyDescent="0.25">
      <c r="A385" s="266">
        <v>375</v>
      </c>
      <c r="B385" s="373">
        <v>44041</v>
      </c>
      <c r="C385" s="334" t="s">
        <v>5205</v>
      </c>
      <c r="D385" s="334" t="s">
        <v>502</v>
      </c>
      <c r="E385" s="334"/>
      <c r="F385" s="335" t="s">
        <v>5207</v>
      </c>
      <c r="G385" s="268" t="s">
        <v>5206</v>
      </c>
      <c r="H385" s="335" t="s">
        <v>5502</v>
      </c>
      <c r="I385" s="266"/>
      <c r="J385" s="269"/>
      <c r="K385" s="269" t="s">
        <v>1430</v>
      </c>
      <c r="L385" s="266" t="s">
        <v>572</v>
      </c>
      <c r="M385" s="415">
        <v>2643000</v>
      </c>
      <c r="N385" s="415">
        <v>2907300</v>
      </c>
      <c r="O385" s="266"/>
      <c r="P385" s="373">
        <v>45136</v>
      </c>
      <c r="Q385" s="266"/>
      <c r="R385" s="271">
        <v>0.4</v>
      </c>
      <c r="S385" s="273">
        <f t="shared" si="35"/>
        <v>1014000</v>
      </c>
      <c r="T385" s="589"/>
      <c r="U385" s="274">
        <f t="shared" si="36"/>
        <v>1594020</v>
      </c>
      <c r="V385" s="274">
        <f t="shared" si="33"/>
        <v>580020</v>
      </c>
      <c r="W385" s="266"/>
    </row>
    <row r="386" spans="1:23" ht="47.25" x14ac:dyDescent="0.25">
      <c r="A386" s="19">
        <v>376</v>
      </c>
      <c r="B386" s="22">
        <v>44041</v>
      </c>
      <c r="C386" s="233" t="s">
        <v>5210</v>
      </c>
      <c r="D386" s="233" t="s">
        <v>562</v>
      </c>
      <c r="E386" s="233"/>
      <c r="F386" s="101" t="s">
        <v>5208</v>
      </c>
      <c r="G386" s="157" t="s">
        <v>5209</v>
      </c>
      <c r="H386" s="153" t="s">
        <v>5211</v>
      </c>
      <c r="I386" s="19"/>
      <c r="J386" s="10"/>
      <c r="K386" s="10" t="s">
        <v>94</v>
      </c>
      <c r="L386" s="19" t="s">
        <v>777</v>
      </c>
      <c r="M386" s="214">
        <v>1061000</v>
      </c>
      <c r="N386" s="214">
        <v>1277100</v>
      </c>
      <c r="O386" s="19"/>
      <c r="P386" s="22">
        <v>44406</v>
      </c>
      <c r="Q386" s="19"/>
      <c r="R386" s="165">
        <v>0.4</v>
      </c>
      <c r="S386" s="214">
        <f t="shared" si="35"/>
        <v>381200</v>
      </c>
      <c r="T386" s="26"/>
      <c r="U386" s="220">
        <f t="shared" si="36"/>
        <v>613180</v>
      </c>
      <c r="V386" s="220">
        <f t="shared" si="33"/>
        <v>231980</v>
      </c>
      <c r="W386" s="19" t="s">
        <v>5221</v>
      </c>
    </row>
    <row r="387" spans="1:23" ht="47.25" x14ac:dyDescent="0.25">
      <c r="A387" s="19">
        <v>377</v>
      </c>
      <c r="B387" s="22">
        <v>44041</v>
      </c>
      <c r="C387" s="233" t="s">
        <v>5212</v>
      </c>
      <c r="D387" s="233" t="s">
        <v>5214</v>
      </c>
      <c r="E387" s="233"/>
      <c r="F387" s="101" t="s">
        <v>5213</v>
      </c>
      <c r="G387" s="157" t="s">
        <v>5215</v>
      </c>
      <c r="H387" s="153" t="s">
        <v>5216</v>
      </c>
      <c r="I387" s="19"/>
      <c r="J387" s="10"/>
      <c r="K387" s="10" t="s">
        <v>180</v>
      </c>
      <c r="L387" s="19" t="s">
        <v>777</v>
      </c>
      <c r="M387" s="214">
        <v>1161000</v>
      </c>
      <c r="N387" s="214">
        <v>1827100</v>
      </c>
      <c r="O387" s="19"/>
      <c r="P387" s="22">
        <v>44406</v>
      </c>
      <c r="Q387" s="19"/>
      <c r="R387" s="165">
        <v>0.4</v>
      </c>
      <c r="S387" s="214">
        <f t="shared" si="35"/>
        <v>421200</v>
      </c>
      <c r="T387" s="26"/>
      <c r="U387" s="220">
        <f t="shared" si="36"/>
        <v>675180</v>
      </c>
      <c r="V387" s="220">
        <f t="shared" si="33"/>
        <v>253980</v>
      </c>
      <c r="W387" s="19" t="s">
        <v>5220</v>
      </c>
    </row>
    <row r="388" spans="1:23" s="272" customFormat="1" ht="47.25" x14ac:dyDescent="0.25">
      <c r="A388" s="266">
        <v>378</v>
      </c>
      <c r="B388" s="373">
        <v>44042</v>
      </c>
      <c r="C388" s="334" t="s">
        <v>5217</v>
      </c>
      <c r="D388" s="334" t="s">
        <v>3622</v>
      </c>
      <c r="E388" s="334"/>
      <c r="F388" s="335" t="s">
        <v>5218</v>
      </c>
      <c r="G388" s="268" t="s">
        <v>5219</v>
      </c>
      <c r="H388" s="335"/>
      <c r="I388" s="266"/>
      <c r="J388" s="269"/>
      <c r="K388" s="269" t="s">
        <v>1430</v>
      </c>
      <c r="L388" s="266" t="s">
        <v>572</v>
      </c>
      <c r="M388" s="415">
        <v>2643000</v>
      </c>
      <c r="N388" s="415">
        <v>2907300</v>
      </c>
      <c r="O388" s="266"/>
      <c r="P388" s="373">
        <v>45137</v>
      </c>
      <c r="Q388" s="266"/>
      <c r="R388" s="271">
        <v>0.4</v>
      </c>
      <c r="S388" s="273">
        <f t="shared" si="35"/>
        <v>1014000</v>
      </c>
      <c r="T388" s="589"/>
      <c r="U388" s="274">
        <f t="shared" si="36"/>
        <v>1594020</v>
      </c>
      <c r="V388" s="274">
        <f t="shared" si="33"/>
        <v>580020</v>
      </c>
      <c r="W388" s="266"/>
    </row>
    <row r="389" spans="1:23" ht="47.25" x14ac:dyDescent="0.25">
      <c r="A389" s="266">
        <v>379</v>
      </c>
      <c r="B389" s="22">
        <v>44042</v>
      </c>
      <c r="C389" s="233" t="s">
        <v>5223</v>
      </c>
      <c r="D389" s="233" t="s">
        <v>5224</v>
      </c>
      <c r="E389" s="233"/>
      <c r="F389" s="101" t="s">
        <v>5222</v>
      </c>
      <c r="G389" s="157" t="s">
        <v>5225</v>
      </c>
      <c r="H389" s="233" t="s">
        <v>5224</v>
      </c>
      <c r="I389" s="19"/>
      <c r="J389" s="10"/>
      <c r="K389" s="10" t="s">
        <v>94</v>
      </c>
      <c r="L389" s="19" t="s">
        <v>777</v>
      </c>
      <c r="M389" s="214">
        <v>1061000</v>
      </c>
      <c r="N389" s="214">
        <v>1277100</v>
      </c>
      <c r="O389" s="19"/>
      <c r="P389" s="22">
        <v>44406</v>
      </c>
      <c r="Q389" s="19"/>
      <c r="R389" s="165">
        <v>0.4</v>
      </c>
      <c r="S389" s="273">
        <f t="shared" si="35"/>
        <v>381200</v>
      </c>
      <c r="T389" s="26"/>
      <c r="U389" s="274">
        <f t="shared" si="36"/>
        <v>613180</v>
      </c>
      <c r="V389" s="220">
        <f t="shared" si="33"/>
        <v>231980</v>
      </c>
      <c r="W389" s="19" t="s">
        <v>5227</v>
      </c>
    </row>
    <row r="390" spans="1:23" s="272" customFormat="1" ht="31.5" x14ac:dyDescent="0.25">
      <c r="A390" s="266">
        <v>380</v>
      </c>
      <c r="B390" s="373">
        <v>44042</v>
      </c>
      <c r="C390" s="334" t="s">
        <v>5226</v>
      </c>
      <c r="D390" s="334" t="s">
        <v>5234</v>
      </c>
      <c r="E390" s="334"/>
      <c r="F390" s="335" t="s">
        <v>5229</v>
      </c>
      <c r="G390" s="268" t="s">
        <v>5228</v>
      </c>
      <c r="H390" s="638" t="s">
        <v>5231</v>
      </c>
      <c r="I390" s="622" t="s">
        <v>5230</v>
      </c>
      <c r="J390" s="269"/>
      <c r="K390" s="269" t="s">
        <v>83</v>
      </c>
      <c r="L390" s="266" t="s">
        <v>572</v>
      </c>
      <c r="M390" s="273">
        <v>2828000</v>
      </c>
      <c r="N390" s="273">
        <v>3110800</v>
      </c>
      <c r="O390" s="266"/>
      <c r="P390" s="373">
        <v>45137</v>
      </c>
      <c r="Q390" s="266"/>
      <c r="R390" s="271">
        <v>0.4</v>
      </c>
      <c r="S390" s="273">
        <f t="shared" si="35"/>
        <v>1088000</v>
      </c>
      <c r="T390" s="589"/>
      <c r="U390" s="274">
        <f t="shared" si="36"/>
        <v>1708720</v>
      </c>
      <c r="V390" s="274">
        <f t="shared" si="33"/>
        <v>620720</v>
      </c>
      <c r="W390" s="266"/>
    </row>
    <row r="391" spans="1:23" s="272" customFormat="1" ht="63" x14ac:dyDescent="0.25">
      <c r="A391" s="266">
        <v>381</v>
      </c>
      <c r="B391" s="373">
        <v>44042</v>
      </c>
      <c r="C391" s="334" t="s">
        <v>5233</v>
      </c>
      <c r="D391" s="334" t="s">
        <v>5235</v>
      </c>
      <c r="E391" s="334"/>
      <c r="F391" s="335" t="s">
        <v>5232</v>
      </c>
      <c r="G391" s="268" t="s">
        <v>5236</v>
      </c>
      <c r="H391" s="335" t="s">
        <v>5238</v>
      </c>
      <c r="I391" s="622" t="s">
        <v>5237</v>
      </c>
      <c r="J391" s="269"/>
      <c r="K391" s="269" t="s">
        <v>83</v>
      </c>
      <c r="L391" s="266" t="s">
        <v>572</v>
      </c>
      <c r="M391" s="273">
        <v>2828000</v>
      </c>
      <c r="N391" s="273">
        <v>3110800</v>
      </c>
      <c r="O391" s="266"/>
      <c r="P391" s="373">
        <v>45137</v>
      </c>
      <c r="Q391" s="266"/>
      <c r="R391" s="271">
        <v>0.3</v>
      </c>
      <c r="S391" s="273">
        <f>(M391-3000*36)*30%</f>
        <v>816000</v>
      </c>
      <c r="T391" s="589">
        <f>M391*R391</f>
        <v>848400</v>
      </c>
      <c r="U391" s="274">
        <f t="shared" si="36"/>
        <v>1708720</v>
      </c>
      <c r="V391" s="274">
        <f t="shared" si="33"/>
        <v>892720</v>
      </c>
      <c r="W391" s="266"/>
    </row>
    <row r="392" spans="1:23" ht="47.25" x14ac:dyDescent="0.25">
      <c r="A392" s="19">
        <v>382</v>
      </c>
      <c r="B392" s="22">
        <v>44042</v>
      </c>
      <c r="C392" s="233" t="s">
        <v>5239</v>
      </c>
      <c r="D392" s="233" t="s">
        <v>562</v>
      </c>
      <c r="E392" s="233"/>
      <c r="F392" s="101" t="s">
        <v>5240</v>
      </c>
      <c r="G392" s="157" t="s">
        <v>5241</v>
      </c>
      <c r="H392" s="101" t="s">
        <v>5242</v>
      </c>
      <c r="I392" s="381" t="s">
        <v>5243</v>
      </c>
      <c r="J392" s="10"/>
      <c r="K392" s="10" t="s">
        <v>1430</v>
      </c>
      <c r="L392" s="19" t="s">
        <v>572</v>
      </c>
      <c r="M392" s="364">
        <v>2643000</v>
      </c>
      <c r="N392" s="364">
        <v>2907300</v>
      </c>
      <c r="O392" s="19"/>
      <c r="P392" s="22">
        <v>45137</v>
      </c>
      <c r="Q392" s="19"/>
      <c r="R392" s="271">
        <v>0.4</v>
      </c>
      <c r="S392" s="214">
        <f t="shared" si="35"/>
        <v>1014000</v>
      </c>
      <c r="T392" s="26" t="s">
        <v>4607</v>
      </c>
      <c r="U392" s="220">
        <f t="shared" si="36"/>
        <v>1594020</v>
      </c>
      <c r="V392" s="220">
        <f t="shared" si="33"/>
        <v>580020</v>
      </c>
      <c r="W392" s="19" t="s">
        <v>5244</v>
      </c>
    </row>
    <row r="393" spans="1:23" s="272" customFormat="1" ht="47.25" x14ac:dyDescent="0.25">
      <c r="A393" s="266">
        <v>383</v>
      </c>
      <c r="B393" s="373">
        <v>44042</v>
      </c>
      <c r="C393" s="334" t="s">
        <v>5245</v>
      </c>
      <c r="D393" s="334" t="s">
        <v>1260</v>
      </c>
      <c r="E393" s="334"/>
      <c r="F393" s="335" t="s">
        <v>2591</v>
      </c>
      <c r="G393" s="268" t="s">
        <v>2592</v>
      </c>
      <c r="H393" s="335"/>
      <c r="I393" s="266"/>
      <c r="J393" s="269"/>
      <c r="K393" s="269" t="s">
        <v>1430</v>
      </c>
      <c r="L393" s="266" t="s">
        <v>572</v>
      </c>
      <c r="M393" s="415">
        <v>2643000</v>
      </c>
      <c r="N393" s="415">
        <v>2907300</v>
      </c>
      <c r="O393" s="266"/>
      <c r="P393" s="373">
        <v>45137</v>
      </c>
      <c r="Q393" s="266"/>
      <c r="R393" s="271">
        <v>0.5</v>
      </c>
      <c r="S393" s="273">
        <f>(M393-3000*36)*50%</f>
        <v>1267500</v>
      </c>
      <c r="T393" s="589"/>
      <c r="U393" s="274">
        <f t="shared" si="36"/>
        <v>1594020</v>
      </c>
      <c r="V393" s="274">
        <f t="shared" si="33"/>
        <v>326520</v>
      </c>
      <c r="W393" s="266"/>
    </row>
    <row r="394" spans="1:23" s="272" customFormat="1" ht="47.25" x14ac:dyDescent="0.25">
      <c r="A394" s="266">
        <v>384</v>
      </c>
      <c r="B394" s="373">
        <v>44043</v>
      </c>
      <c r="C394" s="334" t="s">
        <v>5246</v>
      </c>
      <c r="D394" s="334" t="s">
        <v>457</v>
      </c>
      <c r="E394" s="334"/>
      <c r="F394" s="335" t="s">
        <v>5247</v>
      </c>
      <c r="G394" s="268" t="s">
        <v>5248</v>
      </c>
      <c r="H394" s="335"/>
      <c r="I394" s="266"/>
      <c r="J394" s="269"/>
      <c r="K394" s="269" t="s">
        <v>180</v>
      </c>
      <c r="L394" s="266" t="s">
        <v>777</v>
      </c>
      <c r="M394" s="273">
        <v>1161000</v>
      </c>
      <c r="N394" s="273">
        <v>1827100</v>
      </c>
      <c r="O394" s="266"/>
      <c r="P394" s="373">
        <v>44408</v>
      </c>
      <c r="Q394" s="266"/>
      <c r="R394" s="271">
        <v>0.4</v>
      </c>
      <c r="S394" s="273">
        <f t="shared" si="35"/>
        <v>421200</v>
      </c>
      <c r="T394" s="589"/>
      <c r="U394" s="274">
        <f t="shared" si="36"/>
        <v>675180</v>
      </c>
      <c r="V394" s="274">
        <f t="shared" si="33"/>
        <v>253980</v>
      </c>
      <c r="W394" s="266"/>
    </row>
    <row r="395" spans="1:23" s="272" customFormat="1" ht="63" x14ac:dyDescent="0.25">
      <c r="A395" s="266">
        <v>385</v>
      </c>
      <c r="B395" s="373">
        <v>44043</v>
      </c>
      <c r="C395" s="334" t="s">
        <v>5249</v>
      </c>
      <c r="D395" s="334" t="s">
        <v>502</v>
      </c>
      <c r="E395" s="334"/>
      <c r="F395" s="335" t="s">
        <v>4843</v>
      </c>
      <c r="G395" s="268" t="s">
        <v>4841</v>
      </c>
      <c r="H395" s="504" t="s">
        <v>5250</v>
      </c>
      <c r="I395" s="622" t="s">
        <v>4844</v>
      </c>
      <c r="J395" s="269"/>
      <c r="K395" s="269" t="s">
        <v>83</v>
      </c>
      <c r="L395" s="266" t="s">
        <v>572</v>
      </c>
      <c r="M395" s="273">
        <v>2828000</v>
      </c>
      <c r="N395" s="273">
        <v>3110800</v>
      </c>
      <c r="O395" s="266"/>
      <c r="P395" s="373">
        <v>45138</v>
      </c>
      <c r="Q395" s="266"/>
      <c r="R395" s="271">
        <v>0.4</v>
      </c>
      <c r="S395" s="273">
        <f t="shared" si="35"/>
        <v>1088000</v>
      </c>
      <c r="T395" s="589"/>
      <c r="U395" s="274">
        <f t="shared" si="36"/>
        <v>1708720</v>
      </c>
      <c r="V395" s="274">
        <f t="shared" si="33"/>
        <v>620720</v>
      </c>
      <c r="W395" s="266"/>
    </row>
    <row r="396" spans="1:23" s="481" customFormat="1" ht="63" x14ac:dyDescent="0.25">
      <c r="A396" s="274">
        <v>386</v>
      </c>
      <c r="B396" s="476">
        <v>44044</v>
      </c>
      <c r="C396" s="648" t="s">
        <v>5251</v>
      </c>
      <c r="D396" s="648" t="s">
        <v>3622</v>
      </c>
      <c r="E396" s="648"/>
      <c r="F396" s="478" t="s">
        <v>5253</v>
      </c>
      <c r="G396" s="477" t="s">
        <v>5252</v>
      </c>
      <c r="H396" s="478"/>
      <c r="I396" s="274"/>
      <c r="J396" s="274"/>
      <c r="K396" s="269" t="s">
        <v>83</v>
      </c>
      <c r="L396" s="266" t="s">
        <v>572</v>
      </c>
      <c r="M396" s="273">
        <v>2828000</v>
      </c>
      <c r="N396" s="273">
        <v>3110800</v>
      </c>
      <c r="O396" s="274"/>
      <c r="P396" s="476">
        <v>45139</v>
      </c>
      <c r="Q396" s="274"/>
      <c r="R396" s="271">
        <v>0.4</v>
      </c>
      <c r="S396" s="273">
        <f t="shared" si="35"/>
        <v>1088000</v>
      </c>
      <c r="T396" s="605"/>
      <c r="U396" s="274">
        <f t="shared" si="36"/>
        <v>1708720</v>
      </c>
      <c r="V396" s="274">
        <f t="shared" si="33"/>
        <v>620720</v>
      </c>
      <c r="W396" s="274"/>
    </row>
    <row r="397" spans="1:23" ht="63" x14ac:dyDescent="0.25">
      <c r="A397" s="266">
        <v>387</v>
      </c>
      <c r="B397" s="22">
        <v>44044</v>
      </c>
      <c r="C397" s="233" t="s">
        <v>5254</v>
      </c>
      <c r="D397" s="233" t="s">
        <v>3622</v>
      </c>
      <c r="E397" s="233"/>
      <c r="F397" s="101" t="s">
        <v>5255</v>
      </c>
      <c r="G397" s="157" t="s">
        <v>5252</v>
      </c>
      <c r="H397" s="101"/>
      <c r="I397" s="19"/>
      <c r="J397" s="10"/>
      <c r="K397" s="269" t="s">
        <v>83</v>
      </c>
      <c r="L397" s="266" t="s">
        <v>572</v>
      </c>
      <c r="M397" s="273">
        <v>2828000</v>
      </c>
      <c r="N397" s="273">
        <v>3110800</v>
      </c>
      <c r="O397" s="274"/>
      <c r="P397" s="476">
        <v>45139</v>
      </c>
      <c r="Q397" s="274"/>
      <c r="R397" s="271">
        <v>0.4</v>
      </c>
      <c r="S397" s="273">
        <f t="shared" si="35"/>
        <v>1088000</v>
      </c>
      <c r="T397" s="26"/>
      <c r="U397" s="274">
        <f t="shared" si="36"/>
        <v>1708720</v>
      </c>
      <c r="V397" s="220">
        <f t="shared" si="33"/>
        <v>620720</v>
      </c>
      <c r="W397" s="19"/>
    </row>
    <row r="398" spans="1:23" ht="47.25" x14ac:dyDescent="0.25">
      <c r="A398" s="19">
        <v>388</v>
      </c>
      <c r="B398" s="22">
        <v>44046</v>
      </c>
      <c r="C398" s="233" t="s">
        <v>5307</v>
      </c>
      <c r="D398" s="233" t="s">
        <v>1260</v>
      </c>
      <c r="E398" s="233"/>
      <c r="F398" s="101" t="s">
        <v>5308</v>
      </c>
      <c r="G398" s="157" t="s">
        <v>5309</v>
      </c>
      <c r="H398" s="101"/>
      <c r="I398" s="19"/>
      <c r="J398" s="10"/>
      <c r="K398" s="10" t="s">
        <v>83</v>
      </c>
      <c r="L398" s="19" t="s">
        <v>572</v>
      </c>
      <c r="M398" s="214">
        <v>2828000</v>
      </c>
      <c r="N398" s="214">
        <v>3110800</v>
      </c>
      <c r="O398" s="220"/>
      <c r="P398" s="239">
        <v>45141</v>
      </c>
      <c r="Q398" s="19"/>
      <c r="R398" s="19"/>
      <c r="S398" s="214">
        <f t="shared" si="35"/>
        <v>1088000</v>
      </c>
      <c r="T398" s="26"/>
      <c r="U398" s="220">
        <f t="shared" si="36"/>
        <v>1708720</v>
      </c>
      <c r="V398" s="220">
        <f t="shared" si="33"/>
        <v>620720</v>
      </c>
      <c r="W398" s="19" t="s">
        <v>5310</v>
      </c>
    </row>
    <row r="399" spans="1:23" ht="47.25" x14ac:dyDescent="0.25">
      <c r="A399" s="19">
        <v>389</v>
      </c>
      <c r="B399" s="22">
        <v>44047</v>
      </c>
      <c r="C399" s="233" t="s">
        <v>5311</v>
      </c>
      <c r="D399" s="233" t="s">
        <v>3479</v>
      </c>
      <c r="E399" s="233"/>
      <c r="F399" s="101" t="s">
        <v>5312</v>
      </c>
      <c r="G399" s="157" t="s">
        <v>5313</v>
      </c>
      <c r="H399" s="101"/>
      <c r="I399" s="19"/>
      <c r="J399" s="10"/>
      <c r="K399" s="10" t="s">
        <v>1430</v>
      </c>
      <c r="L399" s="19" t="s">
        <v>572</v>
      </c>
      <c r="M399" s="364">
        <v>2643000</v>
      </c>
      <c r="N399" s="364">
        <v>2907300</v>
      </c>
      <c r="O399" s="19"/>
      <c r="P399" s="22">
        <v>45142</v>
      </c>
      <c r="Q399" s="19"/>
      <c r="R399" s="165">
        <v>0.4</v>
      </c>
      <c r="S399" s="214">
        <f t="shared" si="35"/>
        <v>1014000</v>
      </c>
      <c r="T399" s="26"/>
      <c r="U399" s="220">
        <f t="shared" si="36"/>
        <v>1594020</v>
      </c>
      <c r="V399" s="220">
        <f t="shared" si="33"/>
        <v>580020</v>
      </c>
      <c r="W399" s="19" t="s">
        <v>236</v>
      </c>
    </row>
    <row r="400" spans="1:23" ht="31.5" x14ac:dyDescent="0.25">
      <c r="A400" s="19">
        <v>390</v>
      </c>
      <c r="B400" s="22">
        <v>44048</v>
      </c>
      <c r="C400" s="233" t="s">
        <v>5314</v>
      </c>
      <c r="D400" s="233" t="s">
        <v>4618</v>
      </c>
      <c r="E400" s="233"/>
      <c r="F400" s="101" t="s">
        <v>5315</v>
      </c>
      <c r="G400" s="157" t="s">
        <v>5316</v>
      </c>
      <c r="H400" s="101"/>
      <c r="I400" s="19"/>
      <c r="J400" s="10"/>
      <c r="K400" s="10" t="s">
        <v>1430</v>
      </c>
      <c r="L400" s="19" t="s">
        <v>572</v>
      </c>
      <c r="M400" s="364">
        <v>2643000</v>
      </c>
      <c r="N400" s="364">
        <v>2907300</v>
      </c>
      <c r="O400" s="266"/>
      <c r="P400" s="22">
        <v>45143</v>
      </c>
      <c r="Q400" s="266"/>
      <c r="R400" s="165">
        <v>0.35</v>
      </c>
      <c r="S400" s="214">
        <f t="shared" si="35"/>
        <v>1014000</v>
      </c>
      <c r="T400" s="26"/>
      <c r="U400" s="220">
        <f t="shared" si="36"/>
        <v>1594020</v>
      </c>
      <c r="V400" s="220">
        <f t="shared" si="33"/>
        <v>580020</v>
      </c>
      <c r="W400" s="19"/>
    </row>
    <row r="401" spans="1:23" s="660" customFormat="1" ht="78.75" x14ac:dyDescent="0.25">
      <c r="A401" s="651">
        <v>391</v>
      </c>
      <c r="B401" s="652">
        <v>44049</v>
      </c>
      <c r="C401" s="334" t="s">
        <v>5317</v>
      </c>
      <c r="D401" s="334" t="s">
        <v>2404</v>
      </c>
      <c r="E401" s="334"/>
      <c r="F401" s="653" t="s">
        <v>5319</v>
      </c>
      <c r="G401" s="654" t="s">
        <v>5318</v>
      </c>
      <c r="H401" s="653"/>
      <c r="I401" s="651"/>
      <c r="J401" s="655"/>
      <c r="K401" s="655" t="s">
        <v>180</v>
      </c>
      <c r="L401" s="651" t="s">
        <v>777</v>
      </c>
      <c r="M401" s="656">
        <v>1161000</v>
      </c>
      <c r="N401" s="656">
        <v>1827100</v>
      </c>
      <c r="O401" s="651"/>
      <c r="P401" s="652">
        <v>44408</v>
      </c>
      <c r="Q401" s="651"/>
      <c r="R401" s="657">
        <v>0.4</v>
      </c>
      <c r="S401" s="656">
        <f t="shared" si="35"/>
        <v>421200</v>
      </c>
      <c r="T401" s="658"/>
      <c r="U401" s="659">
        <f t="shared" si="36"/>
        <v>675180</v>
      </c>
      <c r="V401" s="659">
        <f t="shared" si="33"/>
        <v>253980</v>
      </c>
      <c r="W401" s="651"/>
    </row>
    <row r="402" spans="1:23" s="660" customFormat="1" ht="63" x14ac:dyDescent="0.25">
      <c r="A402" s="651">
        <v>392</v>
      </c>
      <c r="B402" s="652">
        <v>44049</v>
      </c>
      <c r="C402" s="334" t="s">
        <v>5320</v>
      </c>
      <c r="D402" s="334" t="s">
        <v>4036</v>
      </c>
      <c r="E402" s="334"/>
      <c r="F402" s="653" t="s">
        <v>5321</v>
      </c>
      <c r="G402" s="654" t="s">
        <v>5322</v>
      </c>
      <c r="H402" s="653" t="s">
        <v>5323</v>
      </c>
      <c r="I402" s="651"/>
      <c r="J402" s="655"/>
      <c r="K402" s="655" t="s">
        <v>83</v>
      </c>
      <c r="L402" s="651" t="s">
        <v>572</v>
      </c>
      <c r="M402" s="656">
        <v>2828000</v>
      </c>
      <c r="N402" s="656">
        <v>3110800</v>
      </c>
      <c r="O402" s="659"/>
      <c r="P402" s="661">
        <v>45139</v>
      </c>
      <c r="Q402" s="659"/>
      <c r="R402" s="657">
        <v>0.4</v>
      </c>
      <c r="S402" s="656">
        <f t="shared" si="35"/>
        <v>1088000</v>
      </c>
      <c r="T402" s="658"/>
      <c r="U402" s="659">
        <f t="shared" si="36"/>
        <v>1708720</v>
      </c>
      <c r="V402" s="659">
        <f t="shared" si="33"/>
        <v>620720</v>
      </c>
      <c r="W402" s="651"/>
    </row>
    <row r="403" spans="1:23" s="660" customFormat="1" ht="90" x14ac:dyDescent="0.25">
      <c r="A403" s="651">
        <v>393</v>
      </c>
      <c r="B403" s="652">
        <v>44050</v>
      </c>
      <c r="C403" s="334" t="s">
        <v>5324</v>
      </c>
      <c r="D403" s="334" t="s">
        <v>502</v>
      </c>
      <c r="E403" s="334"/>
      <c r="F403" s="653" t="s">
        <v>5325</v>
      </c>
      <c r="G403" s="654" t="s">
        <v>5326</v>
      </c>
      <c r="H403" s="653" t="s">
        <v>5327</v>
      </c>
      <c r="I403" s="650" t="s">
        <v>5359</v>
      </c>
      <c r="J403" s="655"/>
      <c r="K403" s="655" t="s">
        <v>180</v>
      </c>
      <c r="L403" s="651" t="s">
        <v>777</v>
      </c>
      <c r="M403" s="656">
        <v>1161000</v>
      </c>
      <c r="N403" s="656">
        <v>1827100</v>
      </c>
      <c r="O403" s="651"/>
      <c r="P403" s="652">
        <v>44408</v>
      </c>
      <c r="Q403" s="651"/>
      <c r="R403" s="657">
        <v>0.4</v>
      </c>
      <c r="S403" s="656">
        <f t="shared" si="35"/>
        <v>421200</v>
      </c>
      <c r="T403" s="658">
        <f>N403-S403</f>
        <v>1405900</v>
      </c>
      <c r="U403" s="659">
        <f t="shared" si="36"/>
        <v>675180</v>
      </c>
      <c r="V403" s="659">
        <f t="shared" si="33"/>
        <v>253980</v>
      </c>
      <c r="W403" s="651"/>
    </row>
    <row r="404" spans="1:23" s="660" customFormat="1" ht="63" x14ac:dyDescent="0.25">
      <c r="A404" s="651">
        <v>394</v>
      </c>
      <c r="B404" s="652">
        <v>44053</v>
      </c>
      <c r="C404" s="334" t="s">
        <v>5374</v>
      </c>
      <c r="D404" s="334"/>
      <c r="E404" s="334" t="s">
        <v>3622</v>
      </c>
      <c r="F404" s="653" t="s">
        <v>5373</v>
      </c>
      <c r="G404" s="654" t="s">
        <v>5375</v>
      </c>
      <c r="H404" s="653"/>
      <c r="I404" s="651"/>
      <c r="J404" s="655"/>
      <c r="K404" s="655" t="s">
        <v>94</v>
      </c>
      <c r="L404" s="651" t="s">
        <v>777</v>
      </c>
      <c r="M404" s="656">
        <v>1061000</v>
      </c>
      <c r="N404" s="656">
        <v>1277100</v>
      </c>
      <c r="O404" s="651"/>
      <c r="P404" s="652">
        <v>44419</v>
      </c>
      <c r="Q404" s="651"/>
      <c r="R404" s="657">
        <v>0.4</v>
      </c>
      <c r="S404" s="656">
        <f t="shared" si="35"/>
        <v>381200</v>
      </c>
      <c r="T404" s="658"/>
      <c r="U404" s="659">
        <f t="shared" si="36"/>
        <v>613180</v>
      </c>
      <c r="V404" s="659">
        <f t="shared" si="33"/>
        <v>231980</v>
      </c>
      <c r="W404" s="651"/>
    </row>
    <row r="405" spans="1:23" s="672" customFormat="1" ht="78.75" x14ac:dyDescent="0.25">
      <c r="A405" s="662">
        <v>395</v>
      </c>
      <c r="B405" s="665">
        <v>44053</v>
      </c>
      <c r="C405" s="666" t="s">
        <v>5376</v>
      </c>
      <c r="D405" s="666"/>
      <c r="E405" s="666" t="s">
        <v>457</v>
      </c>
      <c r="F405" s="667" t="s">
        <v>5378</v>
      </c>
      <c r="G405" s="668" t="s">
        <v>5377</v>
      </c>
      <c r="H405" s="667"/>
      <c r="I405" s="662"/>
      <c r="J405" s="669"/>
      <c r="K405" s="655" t="s">
        <v>1430</v>
      </c>
      <c r="L405" s="651" t="s">
        <v>572</v>
      </c>
      <c r="M405" s="670">
        <v>2643000</v>
      </c>
      <c r="N405" s="670">
        <v>2907300</v>
      </c>
      <c r="O405" s="651"/>
      <c r="P405" s="652">
        <v>45148</v>
      </c>
      <c r="Q405" s="662"/>
      <c r="R405" s="673">
        <v>0.4</v>
      </c>
      <c r="S405" s="663">
        <f t="shared" si="35"/>
        <v>1014000</v>
      </c>
      <c r="T405" s="671"/>
      <c r="U405" s="664">
        <f t="shared" si="36"/>
        <v>1594020</v>
      </c>
      <c r="V405" s="664">
        <f t="shared" si="33"/>
        <v>580020</v>
      </c>
      <c r="W405" s="662"/>
    </row>
    <row r="406" spans="1:23" s="272" customFormat="1" ht="47.25" x14ac:dyDescent="0.25">
      <c r="A406" s="266">
        <v>396</v>
      </c>
      <c r="B406" s="665">
        <v>44055</v>
      </c>
      <c r="C406" s="334" t="s">
        <v>5379</v>
      </c>
      <c r="D406" s="334" t="s">
        <v>502</v>
      </c>
      <c r="E406" s="334" t="s">
        <v>3646</v>
      </c>
      <c r="F406" s="335" t="s">
        <v>5383</v>
      </c>
      <c r="G406" s="268" t="s">
        <v>5382</v>
      </c>
      <c r="H406" s="335" t="s">
        <v>5380</v>
      </c>
      <c r="I406" s="622" t="s">
        <v>5381</v>
      </c>
      <c r="J406" s="269"/>
      <c r="K406" s="655" t="s">
        <v>1430</v>
      </c>
      <c r="L406" s="651" t="s">
        <v>572</v>
      </c>
      <c r="M406" s="670">
        <v>2643000</v>
      </c>
      <c r="N406" s="670">
        <v>2907300</v>
      </c>
      <c r="O406" s="651"/>
      <c r="P406" s="652">
        <v>45149</v>
      </c>
      <c r="Q406" s="266"/>
      <c r="R406" s="271">
        <v>0.3</v>
      </c>
      <c r="S406" s="273">
        <f>(M406-3000*36)*30%</f>
        <v>760500</v>
      </c>
      <c r="T406" s="589"/>
      <c r="U406" s="274">
        <f t="shared" si="36"/>
        <v>1594020</v>
      </c>
      <c r="V406" s="274">
        <f t="shared" si="33"/>
        <v>833520</v>
      </c>
      <c r="W406" s="266"/>
    </row>
    <row r="407" spans="1:23" s="660" customFormat="1" ht="63" x14ac:dyDescent="0.25">
      <c r="A407" s="651">
        <v>397</v>
      </c>
      <c r="B407" s="652">
        <v>44055</v>
      </c>
      <c r="C407" s="334" t="s">
        <v>5384</v>
      </c>
      <c r="D407" s="334" t="s">
        <v>502</v>
      </c>
      <c r="E407" s="334" t="s">
        <v>3646</v>
      </c>
      <c r="F407" s="653" t="s">
        <v>5386</v>
      </c>
      <c r="G407" s="654" t="s">
        <v>5385</v>
      </c>
      <c r="H407" s="335" t="s">
        <v>5380</v>
      </c>
      <c r="I407" s="622" t="s">
        <v>5381</v>
      </c>
      <c r="J407" s="655"/>
      <c r="K407" s="655" t="s">
        <v>1430</v>
      </c>
      <c r="L407" s="651" t="s">
        <v>572</v>
      </c>
      <c r="M407" s="670">
        <v>2643000</v>
      </c>
      <c r="N407" s="670">
        <v>2907300</v>
      </c>
      <c r="O407" s="651"/>
      <c r="P407" s="652">
        <v>45149</v>
      </c>
      <c r="Q407" s="651"/>
      <c r="R407" s="271">
        <v>0.3</v>
      </c>
      <c r="S407" s="656">
        <f>(M407-3000*36)*30%</f>
        <v>760500</v>
      </c>
      <c r="T407" s="658"/>
      <c r="U407" s="659">
        <f t="shared" si="36"/>
        <v>1594020</v>
      </c>
      <c r="V407" s="659">
        <f t="shared" si="33"/>
        <v>833520</v>
      </c>
      <c r="W407" s="651"/>
    </row>
    <row r="408" spans="1:23" s="272" customFormat="1" ht="47.25" x14ac:dyDescent="0.25">
      <c r="A408" s="266">
        <v>398</v>
      </c>
      <c r="B408" s="373">
        <v>44055</v>
      </c>
      <c r="C408" s="334" t="s">
        <v>5387</v>
      </c>
      <c r="D408" s="334" t="s">
        <v>5389</v>
      </c>
      <c r="E408" s="334" t="s">
        <v>3646</v>
      </c>
      <c r="F408" s="335" t="s">
        <v>5391</v>
      </c>
      <c r="G408" s="268" t="s">
        <v>5390</v>
      </c>
      <c r="H408" s="335" t="s">
        <v>5388</v>
      </c>
      <c r="I408" s="266"/>
      <c r="J408" s="269"/>
      <c r="K408" s="655" t="s">
        <v>1430</v>
      </c>
      <c r="L408" s="651" t="s">
        <v>572</v>
      </c>
      <c r="M408" s="670">
        <v>2643000</v>
      </c>
      <c r="N408" s="670">
        <v>2907300</v>
      </c>
      <c r="O408" s="651"/>
      <c r="P408" s="652">
        <v>45149</v>
      </c>
      <c r="Q408" s="266"/>
      <c r="R408" s="271">
        <v>0.4</v>
      </c>
      <c r="S408" s="273">
        <f t="shared" si="35"/>
        <v>1014000</v>
      </c>
      <c r="T408" s="589" t="s">
        <v>4640</v>
      </c>
      <c r="U408" s="274">
        <f t="shared" si="36"/>
        <v>1594020</v>
      </c>
      <c r="V408" s="274">
        <f t="shared" ref="V408:V471" si="39">U408-S408</f>
        <v>580020</v>
      </c>
      <c r="W408" s="266"/>
    </row>
    <row r="409" spans="1:23" ht="63" x14ac:dyDescent="0.25">
      <c r="A409" s="19">
        <v>399</v>
      </c>
      <c r="B409" s="22">
        <v>44055</v>
      </c>
      <c r="C409" s="233" t="s">
        <v>5392</v>
      </c>
      <c r="D409" s="233" t="s">
        <v>4618</v>
      </c>
      <c r="E409" s="233" t="s">
        <v>3646</v>
      </c>
      <c r="F409" s="101" t="s">
        <v>5393</v>
      </c>
      <c r="G409" s="157" t="s">
        <v>5394</v>
      </c>
      <c r="H409" s="101" t="s">
        <v>5396</v>
      </c>
      <c r="I409" s="19" t="s">
        <v>5395</v>
      </c>
      <c r="J409" s="10"/>
      <c r="K409" s="10" t="s">
        <v>83</v>
      </c>
      <c r="L409" s="19" t="s">
        <v>572</v>
      </c>
      <c r="M409" s="214">
        <v>2828000</v>
      </c>
      <c r="N409" s="214">
        <v>3110800</v>
      </c>
      <c r="O409" s="274"/>
      <c r="P409" s="239">
        <v>45139</v>
      </c>
      <c r="Q409" s="274"/>
      <c r="R409" s="165">
        <v>0.4</v>
      </c>
      <c r="S409" s="214">
        <f t="shared" si="35"/>
        <v>1088000</v>
      </c>
      <c r="T409" s="26"/>
      <c r="U409" s="220">
        <f t="shared" si="36"/>
        <v>1708720</v>
      </c>
      <c r="V409" s="220">
        <f t="shared" si="39"/>
        <v>620720</v>
      </c>
      <c r="W409" s="19"/>
    </row>
    <row r="410" spans="1:23" ht="47.25" x14ac:dyDescent="0.25">
      <c r="A410" s="19">
        <v>400</v>
      </c>
      <c r="B410" s="22">
        <v>44057</v>
      </c>
      <c r="C410" s="233" t="s">
        <v>5602</v>
      </c>
      <c r="D410" s="233" t="s">
        <v>562</v>
      </c>
      <c r="E410" s="233" t="s">
        <v>3646</v>
      </c>
      <c r="F410" s="101" t="s">
        <v>5603</v>
      </c>
      <c r="G410" s="157" t="s">
        <v>5604</v>
      </c>
      <c r="H410" s="101" t="s">
        <v>5605</v>
      </c>
      <c r="I410" s="381" t="s">
        <v>5606</v>
      </c>
      <c r="J410" s="10"/>
      <c r="K410" s="682" t="s">
        <v>1430</v>
      </c>
      <c r="L410" s="683" t="s">
        <v>572</v>
      </c>
      <c r="M410" s="684">
        <v>2643000</v>
      </c>
      <c r="N410" s="684">
        <v>2907300</v>
      </c>
      <c r="O410" s="683"/>
      <c r="P410" s="685">
        <v>45152</v>
      </c>
      <c r="Q410" s="19"/>
      <c r="R410" s="165">
        <v>0.4</v>
      </c>
      <c r="S410" s="214">
        <f t="shared" si="35"/>
        <v>1014000</v>
      </c>
      <c r="T410" s="26" t="s">
        <v>4640</v>
      </c>
      <c r="U410" s="220">
        <f t="shared" si="36"/>
        <v>1594020</v>
      </c>
      <c r="V410" s="220">
        <f t="shared" si="39"/>
        <v>580020</v>
      </c>
      <c r="W410" s="19" t="s">
        <v>236</v>
      </c>
    </row>
    <row r="411" spans="1:23" s="272" customFormat="1" ht="63" x14ac:dyDescent="0.25">
      <c r="A411" s="266">
        <v>401</v>
      </c>
      <c r="B411" s="373">
        <v>44057</v>
      </c>
      <c r="C411" s="334" t="s">
        <v>5607</v>
      </c>
      <c r="D411" s="334"/>
      <c r="E411" s="334" t="s">
        <v>309</v>
      </c>
      <c r="F411" s="335" t="s">
        <v>5608</v>
      </c>
      <c r="G411" s="268" t="s">
        <v>5609</v>
      </c>
      <c r="H411" s="335"/>
      <c r="I411" s="266"/>
      <c r="J411" s="269"/>
      <c r="K411" s="269" t="s">
        <v>83</v>
      </c>
      <c r="L411" s="266" t="s">
        <v>572</v>
      </c>
      <c r="M411" s="273">
        <v>2828000</v>
      </c>
      <c r="N411" s="273">
        <v>3110800</v>
      </c>
      <c r="O411" s="274"/>
      <c r="P411" s="476">
        <v>45152</v>
      </c>
      <c r="Q411" s="274"/>
      <c r="R411" s="271">
        <v>0.4</v>
      </c>
      <c r="S411" s="273">
        <f t="shared" si="35"/>
        <v>1088000</v>
      </c>
      <c r="T411" s="589"/>
      <c r="U411" s="274">
        <f t="shared" si="36"/>
        <v>1708720</v>
      </c>
      <c r="V411" s="274">
        <f t="shared" si="39"/>
        <v>620720</v>
      </c>
      <c r="W411" s="266"/>
    </row>
    <row r="412" spans="1:23" s="272" customFormat="1" ht="47.25" x14ac:dyDescent="0.25">
      <c r="A412" s="266">
        <v>402</v>
      </c>
      <c r="B412" s="373">
        <v>44057</v>
      </c>
      <c r="C412" s="334" t="s">
        <v>5610</v>
      </c>
      <c r="D412" s="334" t="s">
        <v>954</v>
      </c>
      <c r="E412" s="334" t="s">
        <v>309</v>
      </c>
      <c r="F412" s="335" t="s">
        <v>5611</v>
      </c>
      <c r="G412" s="268" t="s">
        <v>5612</v>
      </c>
      <c r="H412" s="335"/>
      <c r="I412" s="266"/>
      <c r="J412" s="269"/>
      <c r="K412" s="269" t="s">
        <v>83</v>
      </c>
      <c r="L412" s="266" t="s">
        <v>572</v>
      </c>
      <c r="M412" s="273">
        <v>2828000</v>
      </c>
      <c r="N412" s="273">
        <v>3110800</v>
      </c>
      <c r="O412" s="274"/>
      <c r="P412" s="476">
        <v>45152</v>
      </c>
      <c r="Q412" s="274"/>
      <c r="R412" s="271">
        <v>0.4</v>
      </c>
      <c r="S412" s="273">
        <f t="shared" si="35"/>
        <v>1088000</v>
      </c>
      <c r="T412" s="589"/>
      <c r="U412" s="274">
        <f t="shared" si="36"/>
        <v>1708720</v>
      </c>
      <c r="V412" s="274">
        <f t="shared" si="39"/>
        <v>620720</v>
      </c>
      <c r="W412" s="266"/>
    </row>
    <row r="413" spans="1:23" ht="63" x14ac:dyDescent="0.25">
      <c r="A413" s="19">
        <v>403</v>
      </c>
      <c r="B413" s="22">
        <v>44058</v>
      </c>
      <c r="C413" s="233" t="s">
        <v>5613</v>
      </c>
      <c r="D413" s="233" t="s">
        <v>502</v>
      </c>
      <c r="E413" s="233" t="s">
        <v>3646</v>
      </c>
      <c r="F413" s="101" t="s">
        <v>5614</v>
      </c>
      <c r="G413" s="157" t="s">
        <v>5616</v>
      </c>
      <c r="H413" s="343" t="s">
        <v>5615</v>
      </c>
      <c r="I413" s="19"/>
      <c r="J413" s="10"/>
      <c r="K413" s="682" t="s">
        <v>1430</v>
      </c>
      <c r="L413" s="683" t="s">
        <v>572</v>
      </c>
      <c r="M413" s="684">
        <v>2643000</v>
      </c>
      <c r="N413" s="684">
        <v>2907300</v>
      </c>
      <c r="O413" s="683"/>
      <c r="P413" s="685">
        <v>45152</v>
      </c>
      <c r="Q413" s="19"/>
      <c r="R413" s="19"/>
      <c r="S413" s="214">
        <f>M413*40%</f>
        <v>1057200</v>
      </c>
      <c r="T413" s="26">
        <f>N413-S413</f>
        <v>1850100</v>
      </c>
      <c r="U413" s="220">
        <f t="shared" si="36"/>
        <v>1594020</v>
      </c>
      <c r="V413" s="220">
        <f t="shared" si="39"/>
        <v>536820</v>
      </c>
      <c r="W413" s="19" t="s">
        <v>5617</v>
      </c>
    </row>
    <row r="414" spans="1:23" ht="47.25" x14ac:dyDescent="0.25">
      <c r="A414" s="19">
        <v>404</v>
      </c>
      <c r="B414" s="22">
        <v>44060</v>
      </c>
      <c r="C414" s="233" t="s">
        <v>5618</v>
      </c>
      <c r="D414" s="233" t="s">
        <v>4618</v>
      </c>
      <c r="E414" s="233" t="s">
        <v>3646</v>
      </c>
      <c r="F414" s="101" t="s">
        <v>5620</v>
      </c>
      <c r="G414" s="157" t="s">
        <v>5619</v>
      </c>
      <c r="H414" s="343" t="s">
        <v>5621</v>
      </c>
      <c r="I414" s="19"/>
      <c r="J414" s="10"/>
      <c r="K414" s="10" t="s">
        <v>1430</v>
      </c>
      <c r="L414" s="19" t="s">
        <v>756</v>
      </c>
      <c r="M414" s="214">
        <v>1992000</v>
      </c>
      <c r="N414" s="214">
        <v>2191200</v>
      </c>
      <c r="O414" s="266"/>
      <c r="P414" s="22">
        <v>44738</v>
      </c>
      <c r="Q414" s="266"/>
      <c r="R414" s="165">
        <v>0.4</v>
      </c>
      <c r="S414" s="214">
        <f t="shared" si="35"/>
        <v>753600</v>
      </c>
      <c r="T414" s="26"/>
      <c r="U414" s="220">
        <f t="shared" si="36"/>
        <v>1190400</v>
      </c>
      <c r="V414" s="220">
        <f t="shared" si="39"/>
        <v>436800</v>
      </c>
      <c r="W414" s="19"/>
    </row>
    <row r="415" spans="1:23" s="272" customFormat="1" ht="47.25" x14ac:dyDescent="0.25">
      <c r="A415" s="266">
        <v>405</v>
      </c>
      <c r="B415" s="373">
        <v>44060</v>
      </c>
      <c r="C415" s="334" t="s">
        <v>5623</v>
      </c>
      <c r="D415" s="334" t="s">
        <v>502</v>
      </c>
      <c r="E415" s="334" t="s">
        <v>3646</v>
      </c>
      <c r="F415" s="335" t="s">
        <v>5624</v>
      </c>
      <c r="G415" s="268" t="s">
        <v>5625</v>
      </c>
      <c r="H415" s="335" t="s">
        <v>5622</v>
      </c>
      <c r="I415" s="266"/>
      <c r="J415" s="269"/>
      <c r="K415" s="269" t="s">
        <v>83</v>
      </c>
      <c r="L415" s="266" t="s">
        <v>572</v>
      </c>
      <c r="M415" s="273">
        <v>2828000</v>
      </c>
      <c r="N415" s="273">
        <v>3110800</v>
      </c>
      <c r="O415" s="274"/>
      <c r="P415" s="476">
        <v>45152</v>
      </c>
      <c r="Q415" s="274"/>
      <c r="R415" s="271">
        <v>0.4</v>
      </c>
      <c r="S415" s="273">
        <f t="shared" si="35"/>
        <v>1088000</v>
      </c>
      <c r="T415" s="589"/>
      <c r="U415" s="274">
        <f t="shared" si="36"/>
        <v>1708720</v>
      </c>
      <c r="V415" s="274">
        <f t="shared" si="39"/>
        <v>620720</v>
      </c>
      <c r="W415" s="266"/>
    </row>
    <row r="416" spans="1:23" s="272" customFormat="1" ht="63" x14ac:dyDescent="0.25">
      <c r="A416" s="266">
        <v>406</v>
      </c>
      <c r="B416" s="373">
        <v>44060</v>
      </c>
      <c r="C416" s="334" t="s">
        <v>5626</v>
      </c>
      <c r="D416" s="334" t="s">
        <v>502</v>
      </c>
      <c r="E416" s="334" t="s">
        <v>3646</v>
      </c>
      <c r="F416" s="335" t="s">
        <v>5627</v>
      </c>
      <c r="G416" s="268" t="s">
        <v>5628</v>
      </c>
      <c r="H416" s="335" t="s">
        <v>5629</v>
      </c>
      <c r="I416" s="266"/>
      <c r="J416" s="269"/>
      <c r="K416" s="269" t="s">
        <v>83</v>
      </c>
      <c r="L416" s="266" t="s">
        <v>572</v>
      </c>
      <c r="M416" s="273">
        <v>2828000</v>
      </c>
      <c r="N416" s="273">
        <v>3110800</v>
      </c>
      <c r="O416" s="274"/>
      <c r="P416" s="476">
        <v>45152</v>
      </c>
      <c r="Q416" s="274"/>
      <c r="R416" s="271">
        <v>0.4</v>
      </c>
      <c r="S416" s="273">
        <f t="shared" si="35"/>
        <v>1088000</v>
      </c>
      <c r="T416" s="589"/>
      <c r="U416" s="274">
        <f t="shared" si="36"/>
        <v>1708720</v>
      </c>
      <c r="V416" s="274">
        <f t="shared" si="39"/>
        <v>620720</v>
      </c>
      <c r="W416" s="266"/>
    </row>
    <row r="417" spans="1:23" s="272" customFormat="1" ht="47.25" x14ac:dyDescent="0.25">
      <c r="A417" s="266">
        <v>407</v>
      </c>
      <c r="B417" s="373">
        <v>44061</v>
      </c>
      <c r="C417" s="334" t="s">
        <v>5630</v>
      </c>
      <c r="D417" s="334" t="s">
        <v>3921</v>
      </c>
      <c r="E417" s="334" t="s">
        <v>3646</v>
      </c>
      <c r="F417" s="335" t="s">
        <v>5631</v>
      </c>
      <c r="G417" s="268" t="s">
        <v>5632</v>
      </c>
      <c r="H417" s="335" t="s">
        <v>5633</v>
      </c>
      <c r="I417" s="622" t="s">
        <v>5237</v>
      </c>
      <c r="J417" s="269"/>
      <c r="K417" s="269" t="s">
        <v>83</v>
      </c>
      <c r="L417" s="269" t="s">
        <v>103</v>
      </c>
      <c r="M417" s="273">
        <v>1992000</v>
      </c>
      <c r="N417" s="273">
        <v>2741200</v>
      </c>
      <c r="O417" s="274"/>
      <c r="P417" s="476">
        <v>45152</v>
      </c>
      <c r="Q417" s="274"/>
      <c r="R417" s="271">
        <v>0.3</v>
      </c>
      <c r="S417" s="273">
        <f>(M417-3000*24)*40%</f>
        <v>768000</v>
      </c>
      <c r="T417" s="589">
        <f>M417*R417</f>
        <v>597600</v>
      </c>
      <c r="U417" s="274">
        <f t="shared" si="36"/>
        <v>1190400</v>
      </c>
      <c r="V417" s="274">
        <f t="shared" si="39"/>
        <v>422400</v>
      </c>
      <c r="W417" s="602">
        <f>N417-S417</f>
        <v>1973200</v>
      </c>
    </row>
    <row r="418" spans="1:23" ht="47.25" x14ac:dyDescent="0.25">
      <c r="A418" s="19">
        <v>408</v>
      </c>
      <c r="B418" s="22">
        <v>44061</v>
      </c>
      <c r="C418" s="233" t="s">
        <v>5634</v>
      </c>
      <c r="D418" s="233" t="s">
        <v>4618</v>
      </c>
      <c r="E418" s="233" t="s">
        <v>3646</v>
      </c>
      <c r="F418" s="101" t="s">
        <v>5635</v>
      </c>
      <c r="G418" s="157" t="s">
        <v>5636</v>
      </c>
      <c r="H418" s="343" t="s">
        <v>5637</v>
      </c>
      <c r="I418" s="19" t="s">
        <v>5638</v>
      </c>
      <c r="J418" s="10"/>
      <c r="K418" s="682" t="s">
        <v>94</v>
      </c>
      <c r="L418" s="683" t="s">
        <v>777</v>
      </c>
      <c r="M418" s="761">
        <v>1061000</v>
      </c>
      <c r="N418" s="761">
        <v>1277100</v>
      </c>
      <c r="O418" s="651"/>
      <c r="P418" s="685">
        <v>44426</v>
      </c>
      <c r="Q418" s="651"/>
      <c r="R418" s="770">
        <v>0.4</v>
      </c>
      <c r="S418" s="214">
        <f>M418*40%</f>
        <v>424400</v>
      </c>
      <c r="T418" s="26"/>
      <c r="U418" s="220">
        <f t="shared" si="36"/>
        <v>613180</v>
      </c>
      <c r="V418" s="220">
        <f t="shared" si="39"/>
        <v>188780</v>
      </c>
      <c r="W418" s="19"/>
    </row>
    <row r="419" spans="1:23" s="272" customFormat="1" ht="31.5" x14ac:dyDescent="0.25">
      <c r="A419" s="266">
        <v>409</v>
      </c>
      <c r="B419" s="373">
        <v>44062</v>
      </c>
      <c r="C419" s="334" t="s">
        <v>5639</v>
      </c>
      <c r="D419" s="334" t="s">
        <v>502</v>
      </c>
      <c r="E419" s="334" t="s">
        <v>3646</v>
      </c>
      <c r="F419" s="335" t="s">
        <v>419</v>
      </c>
      <c r="G419" s="268" t="s">
        <v>5640</v>
      </c>
      <c r="H419" s="335" t="s">
        <v>422</v>
      </c>
      <c r="I419" s="266"/>
      <c r="J419" s="269"/>
      <c r="K419" s="655" t="s">
        <v>94</v>
      </c>
      <c r="L419" s="651" t="s">
        <v>777</v>
      </c>
      <c r="M419" s="656">
        <v>1061000</v>
      </c>
      <c r="N419" s="656">
        <v>1277100</v>
      </c>
      <c r="O419" s="651"/>
      <c r="P419" s="652">
        <v>44427</v>
      </c>
      <c r="Q419" s="266"/>
      <c r="R419" s="266"/>
      <c r="S419" s="273"/>
      <c r="T419" s="589"/>
      <c r="U419" s="274">
        <f t="shared" si="36"/>
        <v>613180</v>
      </c>
      <c r="V419" s="274">
        <f t="shared" si="39"/>
        <v>613180</v>
      </c>
      <c r="W419" s="266"/>
    </row>
    <row r="420" spans="1:23" s="272" customFormat="1" ht="47.25" x14ac:dyDescent="0.25">
      <c r="A420" s="266">
        <v>410</v>
      </c>
      <c r="B420" s="373">
        <v>44062</v>
      </c>
      <c r="C420" s="334" t="s">
        <v>5641</v>
      </c>
      <c r="D420" s="334"/>
      <c r="E420" s="334" t="s">
        <v>3479</v>
      </c>
      <c r="F420" s="335" t="s">
        <v>5643</v>
      </c>
      <c r="G420" s="268" t="s">
        <v>5642</v>
      </c>
      <c r="H420" s="335"/>
      <c r="I420" s="266"/>
      <c r="J420" s="269"/>
      <c r="K420" s="269" t="s">
        <v>1430</v>
      </c>
      <c r="L420" s="266" t="s">
        <v>756</v>
      </c>
      <c r="M420" s="273">
        <v>1992000</v>
      </c>
      <c r="N420" s="273">
        <v>2191200</v>
      </c>
      <c r="O420" s="266"/>
      <c r="P420" s="373">
        <v>44738</v>
      </c>
      <c r="Q420" s="266"/>
      <c r="R420" s="271">
        <v>0.4</v>
      </c>
      <c r="S420" s="273">
        <f t="shared" si="35"/>
        <v>753600</v>
      </c>
      <c r="T420" s="589"/>
      <c r="U420" s="274">
        <f t="shared" si="36"/>
        <v>1190400</v>
      </c>
      <c r="V420" s="274">
        <f t="shared" si="39"/>
        <v>436800</v>
      </c>
      <c r="W420" s="266"/>
    </row>
    <row r="421" spans="1:23" s="272" customFormat="1" ht="47.25" x14ac:dyDescent="0.25">
      <c r="A421" s="266">
        <v>411</v>
      </c>
      <c r="B421" s="373">
        <v>44063</v>
      </c>
      <c r="C421" s="334" t="s">
        <v>5644</v>
      </c>
      <c r="D421" s="334" t="s">
        <v>502</v>
      </c>
      <c r="E421" s="334" t="s">
        <v>3646</v>
      </c>
      <c r="F421" s="335" t="s">
        <v>5645</v>
      </c>
      <c r="G421" s="268" t="s">
        <v>5646</v>
      </c>
      <c r="H421" s="504" t="s">
        <v>5647</v>
      </c>
      <c r="I421" s="358"/>
      <c r="J421" s="269"/>
      <c r="K421" s="655" t="s">
        <v>1430</v>
      </c>
      <c r="L421" s="651" t="s">
        <v>572</v>
      </c>
      <c r="M421" s="670">
        <v>2643000</v>
      </c>
      <c r="N421" s="670">
        <v>2907300</v>
      </c>
      <c r="O421" s="651"/>
      <c r="P421" s="652">
        <v>45158</v>
      </c>
      <c r="Q421" s="266"/>
      <c r="R421" s="271">
        <v>0.35</v>
      </c>
      <c r="S421" s="273">
        <f>N421*35%</f>
        <v>1017554.9999999999</v>
      </c>
      <c r="T421" s="589"/>
      <c r="U421" s="274">
        <f t="shared" si="36"/>
        <v>1594020</v>
      </c>
      <c r="V421" s="274">
        <f t="shared" si="39"/>
        <v>576465.00000000012</v>
      </c>
      <c r="W421" s="266"/>
    </row>
    <row r="422" spans="1:23" s="272" customFormat="1" ht="31.5" x14ac:dyDescent="0.25">
      <c r="A422" s="266">
        <v>412</v>
      </c>
      <c r="B422" s="373">
        <v>44063</v>
      </c>
      <c r="C422" s="334" t="s">
        <v>5648</v>
      </c>
      <c r="D422" s="334" t="s">
        <v>502</v>
      </c>
      <c r="E422" s="334" t="s">
        <v>3646</v>
      </c>
      <c r="F422" s="335" t="s">
        <v>5650</v>
      </c>
      <c r="G422" s="268" t="s">
        <v>5649</v>
      </c>
      <c r="H422" s="504" t="s">
        <v>5647</v>
      </c>
      <c r="I422" s="266"/>
      <c r="J422" s="269"/>
      <c r="K422" s="655" t="s">
        <v>1430</v>
      </c>
      <c r="L422" s="651" t="s">
        <v>572</v>
      </c>
      <c r="M422" s="670">
        <v>2643000</v>
      </c>
      <c r="N422" s="670">
        <v>2907300</v>
      </c>
      <c r="O422" s="651"/>
      <c r="P422" s="652">
        <v>45158</v>
      </c>
      <c r="Q422" s="266"/>
      <c r="R422" s="271">
        <v>0.35</v>
      </c>
      <c r="S422" s="273">
        <f>N422*35%</f>
        <v>1017554.9999999999</v>
      </c>
      <c r="T422" s="589"/>
      <c r="U422" s="274">
        <f t="shared" ref="U422:U485" si="40">(M422-3000*24)*0.62</f>
        <v>1594020</v>
      </c>
      <c r="V422" s="274">
        <f t="shared" si="39"/>
        <v>576465.00000000012</v>
      </c>
      <c r="W422" s="266"/>
    </row>
    <row r="423" spans="1:23" s="272" customFormat="1" ht="47.25" x14ac:dyDescent="0.25">
      <c r="A423" s="266">
        <v>413</v>
      </c>
      <c r="B423" s="373">
        <v>44064</v>
      </c>
      <c r="C423" s="334" t="s">
        <v>5651</v>
      </c>
      <c r="D423" s="334"/>
      <c r="E423" s="334" t="s">
        <v>309</v>
      </c>
      <c r="F423" s="335" t="s">
        <v>5652</v>
      </c>
      <c r="G423" s="268" t="s">
        <v>5653</v>
      </c>
      <c r="H423" s="335"/>
      <c r="I423" s="266"/>
      <c r="J423" s="269"/>
      <c r="K423" s="269" t="s">
        <v>83</v>
      </c>
      <c r="L423" s="266" t="s">
        <v>572</v>
      </c>
      <c r="M423" s="273">
        <v>2828000</v>
      </c>
      <c r="N423" s="273">
        <v>3110800</v>
      </c>
      <c r="O423" s="274"/>
      <c r="P423" s="476">
        <v>45160</v>
      </c>
      <c r="Q423" s="266"/>
      <c r="R423" s="266"/>
      <c r="S423" s="273">
        <f t="shared" ref="S423:S435" si="41">(M423-3000*36)*40%</f>
        <v>1088000</v>
      </c>
      <c r="T423" s="589"/>
      <c r="U423" s="274">
        <f t="shared" si="40"/>
        <v>1708720</v>
      </c>
      <c r="V423" s="274">
        <f t="shared" si="39"/>
        <v>620720</v>
      </c>
      <c r="W423" s="266"/>
    </row>
    <row r="424" spans="1:23" s="711" customFormat="1" ht="63" x14ac:dyDescent="0.25">
      <c r="A424" s="168">
        <v>414</v>
      </c>
      <c r="B424" s="706">
        <v>44064</v>
      </c>
      <c r="C424" s="148" t="s">
        <v>5654</v>
      </c>
      <c r="D424" s="148" t="s">
        <v>4618</v>
      </c>
      <c r="E424" s="148" t="s">
        <v>3646</v>
      </c>
      <c r="F424" s="708" t="s">
        <v>5656</v>
      </c>
      <c r="G424" s="157" t="s">
        <v>5655</v>
      </c>
      <c r="H424" s="708" t="s">
        <v>5657</v>
      </c>
      <c r="I424" s="168"/>
      <c r="J424" s="704"/>
      <c r="K424" s="704" t="s">
        <v>1430</v>
      </c>
      <c r="L424" s="168" t="s">
        <v>572</v>
      </c>
      <c r="M424" s="705">
        <v>2643000</v>
      </c>
      <c r="N424" s="705">
        <v>2907300</v>
      </c>
      <c r="O424" s="686"/>
      <c r="P424" s="706">
        <v>45158</v>
      </c>
      <c r="Q424" s="686"/>
      <c r="R424" s="707">
        <v>0.4</v>
      </c>
      <c r="S424" s="713">
        <f t="shared" si="41"/>
        <v>1014000</v>
      </c>
      <c r="T424" s="709"/>
      <c r="U424" s="710">
        <f t="shared" si="40"/>
        <v>1594020</v>
      </c>
      <c r="V424" s="710">
        <f t="shared" si="39"/>
        <v>580020</v>
      </c>
      <c r="W424" s="168"/>
    </row>
    <row r="425" spans="1:23" s="272" customFormat="1" ht="31.5" x14ac:dyDescent="0.25">
      <c r="A425" s="266">
        <v>415</v>
      </c>
      <c r="B425" s="373">
        <v>44065</v>
      </c>
      <c r="C425" s="334" t="s">
        <v>5658</v>
      </c>
      <c r="D425" s="334" t="s">
        <v>562</v>
      </c>
      <c r="E425" s="334" t="s">
        <v>3646</v>
      </c>
      <c r="F425" s="335" t="s">
        <v>5659</v>
      </c>
      <c r="G425" s="268" t="s">
        <v>5660</v>
      </c>
      <c r="H425" s="335" t="s">
        <v>5661</v>
      </c>
      <c r="I425" s="266"/>
      <c r="J425" s="269"/>
      <c r="K425" s="687" t="s">
        <v>1430</v>
      </c>
      <c r="L425" s="686" t="s">
        <v>572</v>
      </c>
      <c r="M425" s="688">
        <v>2643000</v>
      </c>
      <c r="N425" s="688">
        <v>2907300</v>
      </c>
      <c r="O425" s="686"/>
      <c r="P425" s="689">
        <v>45158</v>
      </c>
      <c r="Q425" s="686"/>
      <c r="R425" s="692">
        <v>0.4</v>
      </c>
      <c r="S425" s="273">
        <f t="shared" si="41"/>
        <v>1014000</v>
      </c>
      <c r="T425" s="589" t="s">
        <v>5662</v>
      </c>
      <c r="U425" s="274">
        <f t="shared" si="40"/>
        <v>1594020</v>
      </c>
      <c r="V425" s="274">
        <f t="shared" si="39"/>
        <v>580020</v>
      </c>
      <c r="W425" s="266"/>
    </row>
    <row r="426" spans="1:23" ht="31.5" x14ac:dyDescent="0.25">
      <c r="A426" s="19">
        <v>416</v>
      </c>
      <c r="B426" s="22">
        <v>44067</v>
      </c>
      <c r="C426" s="233" t="s">
        <v>6559</v>
      </c>
      <c r="D426" s="233" t="s">
        <v>562</v>
      </c>
      <c r="E426" s="233" t="s">
        <v>3646</v>
      </c>
      <c r="F426" s="101" t="s">
        <v>6561</v>
      </c>
      <c r="G426" s="157" t="s">
        <v>6560</v>
      </c>
      <c r="H426" s="101" t="s">
        <v>6563</v>
      </c>
      <c r="I426" s="19"/>
      <c r="J426" s="10"/>
      <c r="K426" s="704" t="s">
        <v>1430</v>
      </c>
      <c r="L426" s="168" t="s">
        <v>572</v>
      </c>
      <c r="M426" s="705">
        <v>2643000</v>
      </c>
      <c r="N426" s="705">
        <v>2907300</v>
      </c>
      <c r="O426" s="168"/>
      <c r="P426" s="706">
        <v>45158</v>
      </c>
      <c r="Q426" s="168"/>
      <c r="R426" s="707">
        <v>0.4</v>
      </c>
      <c r="S426" s="214">
        <f t="shared" ref="S426" si="42">(M426-3000*36)*40%</f>
        <v>1014000</v>
      </c>
      <c r="T426" s="26" t="s">
        <v>6562</v>
      </c>
      <c r="U426" s="220">
        <f t="shared" si="40"/>
        <v>1594020</v>
      </c>
      <c r="V426" s="220">
        <f t="shared" si="39"/>
        <v>580020</v>
      </c>
      <c r="W426" s="19" t="s">
        <v>783</v>
      </c>
    </row>
    <row r="427" spans="1:23" s="272" customFormat="1" ht="31.5" x14ac:dyDescent="0.25">
      <c r="A427" s="266">
        <v>417</v>
      </c>
      <c r="B427" s="373">
        <v>44068</v>
      </c>
      <c r="C427" s="334" t="s">
        <v>6564</v>
      </c>
      <c r="D427" s="334"/>
      <c r="E427" s="334" t="s">
        <v>309</v>
      </c>
      <c r="F427" s="335" t="s">
        <v>5100</v>
      </c>
      <c r="G427" s="268" t="s">
        <v>5099</v>
      </c>
      <c r="H427" s="335"/>
      <c r="I427" s="266"/>
      <c r="J427" s="269"/>
      <c r="K427" s="269" t="s">
        <v>83</v>
      </c>
      <c r="L427" s="266" t="s">
        <v>572</v>
      </c>
      <c r="M427" s="273">
        <v>2828000</v>
      </c>
      <c r="N427" s="273">
        <v>3110800</v>
      </c>
      <c r="O427" s="274"/>
      <c r="P427" s="476">
        <v>45163</v>
      </c>
      <c r="Q427" s="266"/>
      <c r="R427" s="271">
        <v>0.4</v>
      </c>
      <c r="S427" s="273">
        <f>(M427-3000*36)*40%</f>
        <v>1088000</v>
      </c>
      <c r="T427" s="589"/>
      <c r="U427" s="274">
        <f t="shared" si="40"/>
        <v>1708720</v>
      </c>
      <c r="V427" s="274">
        <f t="shared" si="39"/>
        <v>620720</v>
      </c>
      <c r="W427" s="266"/>
    </row>
    <row r="428" spans="1:23" s="272" customFormat="1" ht="47.25" x14ac:dyDescent="0.25">
      <c r="A428" s="266">
        <v>418</v>
      </c>
      <c r="B428" s="373">
        <v>44068</v>
      </c>
      <c r="C428" s="334" t="s">
        <v>6565</v>
      </c>
      <c r="D428" s="334" t="s">
        <v>984</v>
      </c>
      <c r="E428" s="334" t="s">
        <v>309</v>
      </c>
      <c r="F428" s="335" t="s">
        <v>6566</v>
      </c>
      <c r="G428" s="268" t="s">
        <v>6567</v>
      </c>
      <c r="H428" s="335"/>
      <c r="I428" s="266"/>
      <c r="J428" s="269"/>
      <c r="K428" s="269" t="s">
        <v>83</v>
      </c>
      <c r="L428" s="266" t="s">
        <v>572</v>
      </c>
      <c r="M428" s="273">
        <v>2828000</v>
      </c>
      <c r="N428" s="273">
        <v>3110800</v>
      </c>
      <c r="O428" s="274"/>
      <c r="P428" s="476">
        <v>45163</v>
      </c>
      <c r="Q428" s="266"/>
      <c r="R428" s="271">
        <v>0.4</v>
      </c>
      <c r="S428" s="273">
        <f t="shared" si="41"/>
        <v>1088000</v>
      </c>
      <c r="T428" s="589"/>
      <c r="U428" s="274">
        <f t="shared" si="40"/>
        <v>1708720</v>
      </c>
      <c r="V428" s="274">
        <f t="shared" si="39"/>
        <v>620720</v>
      </c>
      <c r="W428" s="266"/>
    </row>
    <row r="429" spans="1:23" s="711" customFormat="1" ht="47.25" x14ac:dyDescent="0.25">
      <c r="A429" s="168">
        <v>419</v>
      </c>
      <c r="B429" s="706">
        <v>44068</v>
      </c>
      <c r="C429" s="148" t="s">
        <v>6568</v>
      </c>
      <c r="D429" s="148" t="s">
        <v>6569</v>
      </c>
      <c r="E429" s="148" t="s">
        <v>3646</v>
      </c>
      <c r="F429" s="708" t="s">
        <v>6570</v>
      </c>
      <c r="G429" s="157" t="s">
        <v>6571</v>
      </c>
      <c r="H429" s="708"/>
      <c r="I429" s="712" t="s">
        <v>6572</v>
      </c>
      <c r="J429" s="704"/>
      <c r="K429" s="704" t="s">
        <v>94</v>
      </c>
      <c r="L429" s="168" t="s">
        <v>777</v>
      </c>
      <c r="M429" s="713">
        <v>1061000</v>
      </c>
      <c r="N429" s="713">
        <v>1277100</v>
      </c>
      <c r="O429" s="168"/>
      <c r="P429" s="706">
        <v>44433</v>
      </c>
      <c r="Q429" s="168"/>
      <c r="R429" s="707">
        <v>0.4</v>
      </c>
      <c r="S429" s="713">
        <f t="shared" si="41"/>
        <v>381200</v>
      </c>
      <c r="T429" s="709"/>
      <c r="U429" s="710">
        <f t="shared" si="40"/>
        <v>613180</v>
      </c>
      <c r="V429" s="710">
        <f t="shared" si="39"/>
        <v>231980</v>
      </c>
      <c r="W429" s="168" t="s">
        <v>6573</v>
      </c>
    </row>
    <row r="430" spans="1:23" s="272" customFormat="1" ht="47.25" x14ac:dyDescent="0.25">
      <c r="A430" s="266">
        <v>420</v>
      </c>
      <c r="B430" s="373">
        <v>44070</v>
      </c>
      <c r="C430" s="334" t="s">
        <v>6574</v>
      </c>
      <c r="D430" s="334" t="s">
        <v>3622</v>
      </c>
      <c r="E430" s="334" t="s">
        <v>3622</v>
      </c>
      <c r="F430" s="335" t="s">
        <v>6576</v>
      </c>
      <c r="G430" s="268" t="s">
        <v>6575</v>
      </c>
      <c r="H430" s="335"/>
      <c r="I430" s="266"/>
      <c r="J430" s="269"/>
      <c r="K430" s="687" t="s">
        <v>94</v>
      </c>
      <c r="L430" s="686" t="s">
        <v>777</v>
      </c>
      <c r="M430" s="690">
        <v>1061000</v>
      </c>
      <c r="N430" s="690">
        <v>1277100</v>
      </c>
      <c r="O430" s="686"/>
      <c r="P430" s="689">
        <v>44433</v>
      </c>
      <c r="Q430" s="686"/>
      <c r="R430" s="692">
        <v>0.4</v>
      </c>
      <c r="S430" s="690">
        <f t="shared" ref="S430" si="43">(M430-3000*36)*40%</f>
        <v>381200</v>
      </c>
      <c r="T430" s="589"/>
      <c r="U430" s="274">
        <f t="shared" si="40"/>
        <v>613180</v>
      </c>
      <c r="V430" s="274">
        <f t="shared" si="39"/>
        <v>231980</v>
      </c>
      <c r="W430" s="266"/>
    </row>
    <row r="431" spans="1:23" s="272" customFormat="1" ht="47.25" x14ac:dyDescent="0.25">
      <c r="A431" s="266">
        <v>421</v>
      </c>
      <c r="B431" s="373">
        <v>44070</v>
      </c>
      <c r="C431" s="334" t="s">
        <v>6577</v>
      </c>
      <c r="D431" s="334" t="s">
        <v>3622</v>
      </c>
      <c r="E431" s="334" t="s">
        <v>3622</v>
      </c>
      <c r="F431" s="335" t="s">
        <v>6578</v>
      </c>
      <c r="G431" s="268" t="s">
        <v>6575</v>
      </c>
      <c r="H431" s="335"/>
      <c r="I431" s="266"/>
      <c r="J431" s="269"/>
      <c r="K431" s="687" t="s">
        <v>94</v>
      </c>
      <c r="L431" s="686" t="s">
        <v>777</v>
      </c>
      <c r="M431" s="690">
        <v>1061000</v>
      </c>
      <c r="N431" s="690">
        <v>1277100</v>
      </c>
      <c r="O431" s="686"/>
      <c r="P431" s="689">
        <v>44433</v>
      </c>
      <c r="Q431" s="686"/>
      <c r="R431" s="692">
        <v>0.4</v>
      </c>
      <c r="S431" s="273">
        <f t="shared" si="41"/>
        <v>381200</v>
      </c>
      <c r="T431" s="589"/>
      <c r="U431" s="274">
        <f t="shared" si="40"/>
        <v>613180</v>
      </c>
      <c r="V431" s="274">
        <f t="shared" si="39"/>
        <v>231980</v>
      </c>
      <c r="W431" s="266"/>
    </row>
    <row r="432" spans="1:23" s="272" customFormat="1" ht="47.25" x14ac:dyDescent="0.25">
      <c r="A432" s="266">
        <v>422</v>
      </c>
      <c r="B432" s="373">
        <v>44071</v>
      </c>
      <c r="C432" s="334" t="s">
        <v>6579</v>
      </c>
      <c r="D432" s="334" t="s">
        <v>562</v>
      </c>
      <c r="E432" s="334" t="s">
        <v>3646</v>
      </c>
      <c r="F432" s="335" t="s">
        <v>6580</v>
      </c>
      <c r="G432" s="268" t="s">
        <v>6581</v>
      </c>
      <c r="H432" s="335" t="s">
        <v>6583</v>
      </c>
      <c r="I432" s="266"/>
      <c r="J432" s="269"/>
      <c r="K432" s="687" t="s">
        <v>1430</v>
      </c>
      <c r="L432" s="686" t="s">
        <v>572</v>
      </c>
      <c r="M432" s="688">
        <v>2643000</v>
      </c>
      <c r="N432" s="688">
        <v>2907300</v>
      </c>
      <c r="O432" s="686"/>
      <c r="P432" s="689">
        <v>45158</v>
      </c>
      <c r="Q432" s="686"/>
      <c r="R432" s="692">
        <v>0.4</v>
      </c>
      <c r="S432" s="273">
        <f t="shared" si="41"/>
        <v>1014000</v>
      </c>
      <c r="T432" s="589" t="s">
        <v>6562</v>
      </c>
      <c r="U432" s="274">
        <f t="shared" si="40"/>
        <v>1594020</v>
      </c>
      <c r="V432" s="274">
        <f t="shared" si="39"/>
        <v>580020</v>
      </c>
      <c r="W432" s="266"/>
    </row>
    <row r="433" spans="1:25" s="272" customFormat="1" ht="63" x14ac:dyDescent="0.25">
      <c r="A433" s="266">
        <v>423</v>
      </c>
      <c r="B433" s="373">
        <v>44071</v>
      </c>
      <c r="C433" s="334" t="s">
        <v>6477</v>
      </c>
      <c r="D433" s="334" t="s">
        <v>3901</v>
      </c>
      <c r="E433" s="334" t="s">
        <v>3646</v>
      </c>
      <c r="F433" s="335" t="s">
        <v>6478</v>
      </c>
      <c r="G433" s="268" t="s">
        <v>6479</v>
      </c>
      <c r="H433" s="335"/>
      <c r="I433" s="266"/>
      <c r="J433" s="269"/>
      <c r="K433" s="269" t="s">
        <v>83</v>
      </c>
      <c r="L433" s="266" t="s">
        <v>572</v>
      </c>
      <c r="M433" s="273">
        <v>2828000</v>
      </c>
      <c r="N433" s="273">
        <v>3110800</v>
      </c>
      <c r="O433" s="274"/>
      <c r="P433" s="476">
        <v>45163</v>
      </c>
      <c r="Q433" s="266"/>
      <c r="R433" s="271">
        <v>0.4</v>
      </c>
      <c r="S433" s="273">
        <f>(M433-3000*36)*40%</f>
        <v>1088000</v>
      </c>
      <c r="T433" s="589"/>
      <c r="U433" s="274">
        <f t="shared" si="40"/>
        <v>1708720</v>
      </c>
      <c r="V433" s="274">
        <f t="shared" si="39"/>
        <v>620720</v>
      </c>
      <c r="W433" s="266"/>
    </row>
    <row r="434" spans="1:25" ht="47.25" x14ac:dyDescent="0.25">
      <c r="A434" s="19">
        <v>424</v>
      </c>
      <c r="B434" s="22">
        <v>44071</v>
      </c>
      <c r="C434" s="233" t="s">
        <v>6584</v>
      </c>
      <c r="D434" s="233" t="s">
        <v>562</v>
      </c>
      <c r="E434" s="233" t="s">
        <v>3646</v>
      </c>
      <c r="F434" s="101" t="s">
        <v>6585</v>
      </c>
      <c r="G434" s="157" t="s">
        <v>6586</v>
      </c>
      <c r="H434" s="101" t="s">
        <v>6582</v>
      </c>
      <c r="I434" s="19"/>
      <c r="J434" s="10"/>
      <c r="K434" s="704" t="s">
        <v>94</v>
      </c>
      <c r="L434" s="168" t="s">
        <v>777</v>
      </c>
      <c r="M434" s="713">
        <v>1061000</v>
      </c>
      <c r="N434" s="713">
        <v>1277100</v>
      </c>
      <c r="O434" s="168"/>
      <c r="P434" s="706">
        <v>44433</v>
      </c>
      <c r="Q434" s="168"/>
      <c r="R434" s="707">
        <v>0.4</v>
      </c>
      <c r="S434" s="214">
        <f t="shared" ref="S434" si="44">(M434-3000*36)*40%</f>
        <v>381200</v>
      </c>
      <c r="T434" s="26" t="s">
        <v>1274</v>
      </c>
      <c r="U434" s="220">
        <f t="shared" si="40"/>
        <v>613180</v>
      </c>
      <c r="V434" s="220">
        <f t="shared" si="39"/>
        <v>231980</v>
      </c>
      <c r="W434" s="19" t="s">
        <v>6587</v>
      </c>
    </row>
    <row r="435" spans="1:25" ht="47.25" x14ac:dyDescent="0.25">
      <c r="A435" s="19">
        <v>425</v>
      </c>
      <c r="B435" s="22">
        <v>44071</v>
      </c>
      <c r="C435" s="233" t="s">
        <v>6588</v>
      </c>
      <c r="D435" s="233"/>
      <c r="E435" s="233" t="s">
        <v>3646</v>
      </c>
      <c r="F435" s="101" t="s">
        <v>6589</v>
      </c>
      <c r="G435" s="157" t="s">
        <v>6590</v>
      </c>
      <c r="H435" s="101" t="s">
        <v>234</v>
      </c>
      <c r="I435" s="19"/>
      <c r="J435" s="10"/>
      <c r="K435" s="10" t="s">
        <v>83</v>
      </c>
      <c r="L435" s="19" t="s">
        <v>572</v>
      </c>
      <c r="M435" s="214">
        <v>2828000</v>
      </c>
      <c r="N435" s="214">
        <v>3110800</v>
      </c>
      <c r="O435" s="220"/>
      <c r="P435" s="239">
        <v>45163</v>
      </c>
      <c r="Q435" s="19"/>
      <c r="R435" s="165">
        <v>0.4</v>
      </c>
      <c r="S435" s="214">
        <f t="shared" si="41"/>
        <v>1088000</v>
      </c>
      <c r="T435" s="26"/>
      <c r="U435" s="220">
        <f t="shared" si="40"/>
        <v>1708720</v>
      </c>
      <c r="V435" s="220">
        <f t="shared" si="39"/>
        <v>620720</v>
      </c>
      <c r="W435" s="19" t="s">
        <v>6591</v>
      </c>
    </row>
    <row r="436" spans="1:25" ht="47.25" x14ac:dyDescent="0.25">
      <c r="A436" s="19">
        <v>426</v>
      </c>
      <c r="B436" s="22">
        <v>44071</v>
      </c>
      <c r="C436" s="233" t="s">
        <v>6592</v>
      </c>
      <c r="D436" s="233" t="s">
        <v>1260</v>
      </c>
      <c r="E436" s="233" t="s">
        <v>3646</v>
      </c>
      <c r="F436" s="101" t="s">
        <v>6594</v>
      </c>
      <c r="G436" s="157" t="s">
        <v>6593</v>
      </c>
      <c r="H436" s="101"/>
      <c r="I436" s="19"/>
      <c r="J436" s="10"/>
      <c r="K436" s="10" t="s">
        <v>83</v>
      </c>
      <c r="L436" s="19" t="s">
        <v>572</v>
      </c>
      <c r="M436" s="214">
        <v>2828000</v>
      </c>
      <c r="N436" s="214">
        <v>3110800</v>
      </c>
      <c r="O436" s="220"/>
      <c r="P436" s="239">
        <v>45163</v>
      </c>
      <c r="Q436" s="19"/>
      <c r="R436" s="165">
        <v>0.4</v>
      </c>
      <c r="S436" s="214">
        <f t="shared" ref="S436" si="45">(M436-3000*36)*40%</f>
        <v>1088000</v>
      </c>
      <c r="T436" s="26"/>
      <c r="U436" s="220">
        <f t="shared" si="40"/>
        <v>1708720</v>
      </c>
      <c r="V436" s="220">
        <f t="shared" si="39"/>
        <v>620720</v>
      </c>
      <c r="W436" s="19" t="s">
        <v>5127</v>
      </c>
    </row>
    <row r="437" spans="1:25" s="272" customFormat="1" ht="31.5" x14ac:dyDescent="0.25">
      <c r="A437" s="266">
        <v>427</v>
      </c>
      <c r="B437" s="373">
        <v>44071</v>
      </c>
      <c r="C437" s="334" t="s">
        <v>6564</v>
      </c>
      <c r="D437" s="334"/>
      <c r="E437" s="334" t="s">
        <v>309</v>
      </c>
      <c r="F437" s="335" t="s">
        <v>5100</v>
      </c>
      <c r="G437" s="268" t="s">
        <v>5099</v>
      </c>
      <c r="H437" s="335"/>
      <c r="I437" s="266"/>
      <c r="J437" s="269"/>
      <c r="K437" s="269" t="s">
        <v>83</v>
      </c>
      <c r="L437" s="266" t="s">
        <v>572</v>
      </c>
      <c r="M437" s="273">
        <v>2828000</v>
      </c>
      <c r="N437" s="273">
        <v>3110800</v>
      </c>
      <c r="O437" s="274"/>
      <c r="P437" s="476">
        <v>45163</v>
      </c>
      <c r="Q437" s="266"/>
      <c r="R437" s="271">
        <v>0.4</v>
      </c>
      <c r="S437" s="273">
        <f t="shared" ref="S437:S438" si="46">(M437-3000*36)*40%</f>
        <v>1088000</v>
      </c>
      <c r="T437" s="589"/>
      <c r="U437" s="274">
        <f t="shared" si="40"/>
        <v>1708720</v>
      </c>
      <c r="V437" s="274">
        <f t="shared" si="39"/>
        <v>620720</v>
      </c>
      <c r="W437" s="266"/>
    </row>
    <row r="438" spans="1:25" s="217" customFormat="1" ht="63" x14ac:dyDescent="0.25">
      <c r="A438" s="220">
        <v>428</v>
      </c>
      <c r="B438" s="239">
        <v>44075</v>
      </c>
      <c r="C438" s="240" t="s">
        <v>6595</v>
      </c>
      <c r="D438" s="240" t="s">
        <v>3622</v>
      </c>
      <c r="E438" s="240" t="s">
        <v>3622</v>
      </c>
      <c r="F438" s="244" t="s">
        <v>6596</v>
      </c>
      <c r="G438" s="242" t="s">
        <v>6597</v>
      </c>
      <c r="H438" s="244"/>
      <c r="I438" s="220"/>
      <c r="J438" s="220"/>
      <c r="K438" s="704" t="s">
        <v>1430</v>
      </c>
      <c r="L438" s="168" t="s">
        <v>572</v>
      </c>
      <c r="M438" s="705">
        <v>2643000</v>
      </c>
      <c r="N438" s="705">
        <v>2907300</v>
      </c>
      <c r="O438" s="168"/>
      <c r="P438" s="706">
        <v>45158</v>
      </c>
      <c r="Q438" s="168"/>
      <c r="R438" s="707">
        <v>0.4</v>
      </c>
      <c r="S438" s="214">
        <f t="shared" si="46"/>
        <v>1014000</v>
      </c>
      <c r="T438" s="376" t="s">
        <v>7021</v>
      </c>
      <c r="U438" s="220">
        <f t="shared" si="40"/>
        <v>1594020</v>
      </c>
      <c r="V438" s="220">
        <f t="shared" si="39"/>
        <v>580020</v>
      </c>
      <c r="W438" s="220" t="s">
        <v>7020</v>
      </c>
      <c r="Y438" s="255">
        <f>S438-907300</f>
        <v>106700</v>
      </c>
    </row>
    <row r="439" spans="1:25" ht="47.25" x14ac:dyDescent="0.25">
      <c r="A439" s="19">
        <v>429</v>
      </c>
      <c r="B439" s="239">
        <v>44075</v>
      </c>
      <c r="C439" s="233" t="s">
        <v>6609</v>
      </c>
      <c r="D439" s="233"/>
      <c r="E439" s="233" t="s">
        <v>3646</v>
      </c>
      <c r="F439" s="101" t="s">
        <v>6611</v>
      </c>
      <c r="G439" s="157" t="s">
        <v>6610</v>
      </c>
      <c r="H439" s="101" t="s">
        <v>6612</v>
      </c>
      <c r="I439" s="381" t="s">
        <v>6613</v>
      </c>
      <c r="J439" s="10"/>
      <c r="K439" s="10" t="s">
        <v>83</v>
      </c>
      <c r="L439" s="19" t="s">
        <v>572</v>
      </c>
      <c r="M439" s="214">
        <v>2828000</v>
      </c>
      <c r="N439" s="214">
        <v>3110800</v>
      </c>
      <c r="O439" s="220"/>
      <c r="P439" s="239">
        <v>45163</v>
      </c>
      <c r="Q439" s="19"/>
      <c r="R439" s="165">
        <v>0.4</v>
      </c>
      <c r="S439" s="214">
        <f>N439-1900000</f>
        <v>1210800</v>
      </c>
      <c r="T439" s="26"/>
      <c r="U439" s="220">
        <f t="shared" si="40"/>
        <v>1708720</v>
      </c>
      <c r="V439" s="220">
        <f t="shared" si="39"/>
        <v>497920</v>
      </c>
      <c r="W439" s="19" t="s">
        <v>6884</v>
      </c>
    </row>
    <row r="440" spans="1:25" s="272" customFormat="1" ht="31.5" x14ac:dyDescent="0.25">
      <c r="A440" s="266">
        <v>430</v>
      </c>
      <c r="B440" s="476">
        <v>44075</v>
      </c>
      <c r="C440" s="334" t="s">
        <v>5098</v>
      </c>
      <c r="D440" s="334"/>
      <c r="E440" s="334" t="s">
        <v>309</v>
      </c>
      <c r="F440" s="335" t="s">
        <v>5100</v>
      </c>
      <c r="G440" s="268" t="s">
        <v>5099</v>
      </c>
      <c r="H440" s="335"/>
      <c r="I440" s="266"/>
      <c r="J440" s="269"/>
      <c r="K440" s="269" t="s">
        <v>83</v>
      </c>
      <c r="L440" s="266" t="s">
        <v>572</v>
      </c>
      <c r="M440" s="273">
        <v>2828000</v>
      </c>
      <c r="N440" s="273">
        <v>3110800</v>
      </c>
      <c r="O440" s="274"/>
      <c r="P440" s="476">
        <v>45163</v>
      </c>
      <c r="Q440" s="266"/>
      <c r="R440" s="271">
        <v>0.4</v>
      </c>
      <c r="S440" s="273">
        <f t="shared" ref="S440" si="47">(M440-3000*36)*40%</f>
        <v>1088000</v>
      </c>
      <c r="T440" s="589"/>
      <c r="U440" s="274">
        <f t="shared" si="40"/>
        <v>1708720</v>
      </c>
      <c r="V440" s="274">
        <f t="shared" si="39"/>
        <v>620720</v>
      </c>
      <c r="W440" s="266"/>
    </row>
    <row r="441" spans="1:25" s="660" customFormat="1" ht="47.25" x14ac:dyDescent="0.25">
      <c r="A441" s="651">
        <v>431</v>
      </c>
      <c r="B441" s="652">
        <v>44077</v>
      </c>
      <c r="C441" s="334" t="s">
        <v>6614</v>
      </c>
      <c r="D441" s="334"/>
      <c r="E441" s="334" t="s">
        <v>309</v>
      </c>
      <c r="F441" s="653" t="s">
        <v>6615</v>
      </c>
      <c r="G441" s="654" t="s">
        <v>6616</v>
      </c>
      <c r="H441" s="653"/>
      <c r="I441" s="651"/>
      <c r="J441" s="655"/>
      <c r="K441" s="269" t="s">
        <v>83</v>
      </c>
      <c r="L441" s="266" t="s">
        <v>572</v>
      </c>
      <c r="M441" s="273">
        <v>2828000</v>
      </c>
      <c r="N441" s="273">
        <v>3110800</v>
      </c>
      <c r="O441" s="274"/>
      <c r="P441" s="476">
        <v>45163</v>
      </c>
      <c r="Q441" s="266"/>
      <c r="R441" s="271">
        <v>0.4</v>
      </c>
      <c r="S441" s="273">
        <f t="shared" ref="S441" si="48">(M441-3000*36)*40%</f>
        <v>1088000</v>
      </c>
      <c r="T441" s="658"/>
      <c r="U441" s="659">
        <f t="shared" si="40"/>
        <v>1708720</v>
      </c>
      <c r="V441" s="659">
        <f t="shared" si="39"/>
        <v>620720</v>
      </c>
      <c r="W441" s="651"/>
    </row>
    <row r="442" spans="1:25" s="272" customFormat="1" ht="47.25" x14ac:dyDescent="0.25">
      <c r="A442" s="266">
        <v>432</v>
      </c>
      <c r="B442" s="373">
        <v>44078</v>
      </c>
      <c r="C442" s="334" t="s">
        <v>3052</v>
      </c>
      <c r="D442" s="334"/>
      <c r="E442" s="334" t="s">
        <v>3646</v>
      </c>
      <c r="F442" s="335" t="s">
        <v>997</v>
      </c>
      <c r="G442" s="268" t="s">
        <v>3053</v>
      </c>
      <c r="H442" s="335" t="s">
        <v>6617</v>
      </c>
      <c r="I442" s="622" t="s">
        <v>6618</v>
      </c>
      <c r="J442" s="269"/>
      <c r="K442" s="687" t="s">
        <v>94</v>
      </c>
      <c r="L442" s="686" t="s">
        <v>777</v>
      </c>
      <c r="M442" s="690">
        <v>1061000</v>
      </c>
      <c r="N442" s="690">
        <v>1277100</v>
      </c>
      <c r="O442" s="686"/>
      <c r="P442" s="689">
        <v>44433</v>
      </c>
      <c r="Q442" s="686"/>
      <c r="R442" s="692">
        <v>0.4</v>
      </c>
      <c r="S442" s="273">
        <f>(M442-3000*12)*40%</f>
        <v>410000</v>
      </c>
      <c r="T442" s="589"/>
      <c r="U442" s="274">
        <f t="shared" si="40"/>
        <v>613180</v>
      </c>
      <c r="V442" s="274">
        <f t="shared" si="39"/>
        <v>203180</v>
      </c>
      <c r="W442" s="266"/>
    </row>
    <row r="443" spans="1:25" s="660" customFormat="1" ht="47.25" x14ac:dyDescent="0.25">
      <c r="A443" s="651">
        <v>433</v>
      </c>
      <c r="B443" s="652">
        <v>44081</v>
      </c>
      <c r="C443" s="334" t="s">
        <v>6619</v>
      </c>
      <c r="D443" s="334" t="s">
        <v>3622</v>
      </c>
      <c r="E443" s="334" t="s">
        <v>3622</v>
      </c>
      <c r="F443" s="653" t="s">
        <v>6621</v>
      </c>
      <c r="G443" s="654" t="s">
        <v>6620</v>
      </c>
      <c r="H443" s="653" t="s">
        <v>6622</v>
      </c>
      <c r="I443" s="651"/>
      <c r="J443" s="655"/>
      <c r="K443" s="687" t="s">
        <v>1430</v>
      </c>
      <c r="L443" s="686" t="s">
        <v>572</v>
      </c>
      <c r="M443" s="688">
        <v>2643000</v>
      </c>
      <c r="N443" s="688">
        <v>2907300</v>
      </c>
      <c r="O443" s="686"/>
      <c r="P443" s="689">
        <v>45158</v>
      </c>
      <c r="Q443" s="686"/>
      <c r="R443" s="692">
        <v>0.4</v>
      </c>
      <c r="S443" s="273">
        <f t="shared" ref="S443" si="49">(M443-3000*36)*40%</f>
        <v>1014000</v>
      </c>
      <c r="T443" s="658"/>
      <c r="U443" s="659">
        <f t="shared" si="40"/>
        <v>1594020</v>
      </c>
      <c r="V443" s="659">
        <f t="shared" si="39"/>
        <v>580020</v>
      </c>
      <c r="W443" s="651"/>
    </row>
    <row r="444" spans="1:25" s="272" customFormat="1" ht="31.5" x14ac:dyDescent="0.25">
      <c r="A444" s="266">
        <v>434</v>
      </c>
      <c r="B444" s="373">
        <v>44081</v>
      </c>
      <c r="C444" s="334" t="s">
        <v>6623</v>
      </c>
      <c r="D444" s="334" t="s">
        <v>562</v>
      </c>
      <c r="E444" s="334" t="s">
        <v>3646</v>
      </c>
      <c r="F444" s="335" t="s">
        <v>6624</v>
      </c>
      <c r="G444" s="268" t="s">
        <v>6625</v>
      </c>
      <c r="H444" s="335" t="s">
        <v>6626</v>
      </c>
      <c r="I444" s="266"/>
      <c r="J444" s="269"/>
      <c r="K444" s="687" t="s">
        <v>94</v>
      </c>
      <c r="L444" s="686" t="s">
        <v>777</v>
      </c>
      <c r="M444" s="690">
        <v>1061000</v>
      </c>
      <c r="N444" s="690">
        <v>1277100</v>
      </c>
      <c r="O444" s="686"/>
      <c r="P444" s="689">
        <v>44433</v>
      </c>
      <c r="Q444" s="686"/>
      <c r="R444" s="692">
        <v>0.4</v>
      </c>
      <c r="S444" s="273">
        <f>(M444-3000*12)*40%</f>
        <v>410000</v>
      </c>
      <c r="T444" s="589" t="s">
        <v>6627</v>
      </c>
      <c r="U444" s="274">
        <f t="shared" si="40"/>
        <v>613180</v>
      </c>
      <c r="V444" s="274">
        <f t="shared" si="39"/>
        <v>203180</v>
      </c>
      <c r="W444" s="266"/>
    </row>
    <row r="445" spans="1:25" ht="63" x14ac:dyDescent="0.25">
      <c r="A445" s="19">
        <v>435</v>
      </c>
      <c r="B445" s="22">
        <v>44081</v>
      </c>
      <c r="C445" s="233" t="s">
        <v>6628</v>
      </c>
      <c r="D445" s="233" t="s">
        <v>2404</v>
      </c>
      <c r="E445" s="233" t="s">
        <v>2404</v>
      </c>
      <c r="F445" s="101" t="s">
        <v>6630</v>
      </c>
      <c r="G445" s="157" t="s">
        <v>6629</v>
      </c>
      <c r="H445" s="101"/>
      <c r="I445" s="19"/>
      <c r="J445" s="10"/>
      <c r="K445" s="10" t="s">
        <v>83</v>
      </c>
      <c r="L445" s="19" t="s">
        <v>572</v>
      </c>
      <c r="M445" s="214">
        <v>2828000</v>
      </c>
      <c r="N445" s="214">
        <v>3110800</v>
      </c>
      <c r="O445" s="220"/>
      <c r="P445" s="239">
        <v>45163</v>
      </c>
      <c r="Q445" s="19"/>
      <c r="R445" s="165">
        <v>0.4</v>
      </c>
      <c r="S445" s="214">
        <f t="shared" ref="S445:S447" si="50">(M445-3000*36)*40%</f>
        <v>1088000</v>
      </c>
      <c r="T445" s="26">
        <f>N445-2546000</f>
        <v>564800</v>
      </c>
      <c r="U445" s="220">
        <f t="shared" si="40"/>
        <v>1708720</v>
      </c>
      <c r="V445" s="220">
        <f t="shared" si="39"/>
        <v>620720</v>
      </c>
      <c r="W445" s="19" t="s">
        <v>6631</v>
      </c>
    </row>
    <row r="446" spans="1:25" ht="63" x14ac:dyDescent="0.25">
      <c r="A446" s="19">
        <v>436</v>
      </c>
      <c r="B446" s="22">
        <v>44081</v>
      </c>
      <c r="C446" s="233" t="s">
        <v>6632</v>
      </c>
      <c r="D446" s="233" t="s">
        <v>562</v>
      </c>
      <c r="E446" s="233" t="s">
        <v>3646</v>
      </c>
      <c r="F446" s="101" t="s">
        <v>6633</v>
      </c>
      <c r="G446" s="157" t="s">
        <v>6634</v>
      </c>
      <c r="H446" s="101" t="s">
        <v>6635</v>
      </c>
      <c r="I446" s="19"/>
      <c r="J446" s="10"/>
      <c r="K446" s="704" t="s">
        <v>1430</v>
      </c>
      <c r="L446" s="168" t="s">
        <v>572</v>
      </c>
      <c r="M446" s="705">
        <v>2643000</v>
      </c>
      <c r="N446" s="705">
        <v>2907300</v>
      </c>
      <c r="O446" s="168"/>
      <c r="P446" s="706">
        <v>45158</v>
      </c>
      <c r="Q446" s="168"/>
      <c r="R446" s="707">
        <v>0.4</v>
      </c>
      <c r="S446" s="214">
        <f t="shared" si="50"/>
        <v>1014000</v>
      </c>
      <c r="T446" s="26">
        <v>507300</v>
      </c>
      <c r="U446" s="220">
        <f t="shared" si="40"/>
        <v>1594020</v>
      </c>
      <c r="V446" s="220">
        <f t="shared" si="39"/>
        <v>580020</v>
      </c>
      <c r="W446" s="19" t="s">
        <v>6636</v>
      </c>
    </row>
    <row r="447" spans="1:25" s="272" customFormat="1" ht="47.25" x14ac:dyDescent="0.25">
      <c r="A447" s="266">
        <v>437</v>
      </c>
      <c r="B447" s="373">
        <v>44082</v>
      </c>
      <c r="C447" s="334" t="s">
        <v>4129</v>
      </c>
      <c r="D447" s="334" t="s">
        <v>457</v>
      </c>
      <c r="E447" s="334" t="s">
        <v>457</v>
      </c>
      <c r="F447" s="335"/>
      <c r="G447" s="268" t="s">
        <v>4130</v>
      </c>
      <c r="H447" s="335"/>
      <c r="I447" s="266"/>
      <c r="J447" s="269"/>
      <c r="K447" s="687" t="s">
        <v>1430</v>
      </c>
      <c r="L447" s="686" t="s">
        <v>572</v>
      </c>
      <c r="M447" s="688">
        <v>2643000</v>
      </c>
      <c r="N447" s="688">
        <v>2907300</v>
      </c>
      <c r="O447" s="686"/>
      <c r="P447" s="689">
        <v>45158</v>
      </c>
      <c r="Q447" s="686"/>
      <c r="R447" s="692">
        <v>0.4</v>
      </c>
      <c r="S447" s="273">
        <f t="shared" si="50"/>
        <v>1014000</v>
      </c>
      <c r="T447" s="589"/>
      <c r="U447" s="274">
        <f t="shared" si="40"/>
        <v>1594020</v>
      </c>
      <c r="V447" s="274">
        <f t="shared" si="39"/>
        <v>580020</v>
      </c>
      <c r="W447" s="266"/>
    </row>
    <row r="448" spans="1:25" ht="63" x14ac:dyDescent="0.25">
      <c r="A448" s="19">
        <v>438</v>
      </c>
      <c r="B448" s="22">
        <v>44082</v>
      </c>
      <c r="C448" s="233" t="s">
        <v>6637</v>
      </c>
      <c r="D448" s="233"/>
      <c r="E448" s="233" t="s">
        <v>3646</v>
      </c>
      <c r="F448" s="101" t="s">
        <v>6638</v>
      </c>
      <c r="G448" s="157" t="s">
        <v>6639</v>
      </c>
      <c r="H448" s="101" t="s">
        <v>510</v>
      </c>
      <c r="I448" s="19"/>
      <c r="J448" s="10"/>
      <c r="K448" s="10" t="s">
        <v>83</v>
      </c>
      <c r="L448" s="19" t="s">
        <v>572</v>
      </c>
      <c r="M448" s="214">
        <v>2828000</v>
      </c>
      <c r="N448" s="214">
        <v>3110800</v>
      </c>
      <c r="O448" s="220"/>
      <c r="P448" s="239">
        <v>45163</v>
      </c>
      <c r="Q448" s="19"/>
      <c r="R448" s="165">
        <v>0.4</v>
      </c>
      <c r="S448" s="214">
        <f t="shared" ref="S448" si="51">(M448-3000*36)*40%</f>
        <v>1088000</v>
      </c>
      <c r="T448" s="26"/>
      <c r="U448" s="220">
        <f t="shared" si="40"/>
        <v>1708720</v>
      </c>
      <c r="V448" s="220">
        <f t="shared" si="39"/>
        <v>620720</v>
      </c>
      <c r="W448" s="19" t="s">
        <v>6640</v>
      </c>
    </row>
    <row r="449" spans="1:23" s="272" customFormat="1" ht="47.25" x14ac:dyDescent="0.25">
      <c r="A449" s="266">
        <v>439</v>
      </c>
      <c r="B449" s="373">
        <v>44083</v>
      </c>
      <c r="C449" s="334" t="s">
        <v>6641</v>
      </c>
      <c r="D449" s="334" t="s">
        <v>457</v>
      </c>
      <c r="E449" s="334" t="s">
        <v>457</v>
      </c>
      <c r="F449" s="335" t="s">
        <v>6642</v>
      </c>
      <c r="G449" s="268" t="s">
        <v>6643</v>
      </c>
      <c r="H449" s="335"/>
      <c r="I449" s="266"/>
      <c r="J449" s="269"/>
      <c r="K449" s="269" t="s">
        <v>83</v>
      </c>
      <c r="L449" s="266" t="s">
        <v>572</v>
      </c>
      <c r="M449" s="273">
        <v>2828000</v>
      </c>
      <c r="N449" s="273">
        <v>3110800</v>
      </c>
      <c r="O449" s="274"/>
      <c r="P449" s="476">
        <v>45163</v>
      </c>
      <c r="Q449" s="266"/>
      <c r="R449" s="271">
        <v>0.4</v>
      </c>
      <c r="S449" s="273">
        <f t="shared" ref="S449:S450" si="52">(M449-3000*36)*40%</f>
        <v>1088000</v>
      </c>
      <c r="T449" s="589"/>
      <c r="U449" s="274">
        <f t="shared" si="40"/>
        <v>1708720</v>
      </c>
      <c r="V449" s="274">
        <f t="shared" si="39"/>
        <v>620720</v>
      </c>
      <c r="W449" s="266"/>
    </row>
    <row r="450" spans="1:23" ht="47.25" x14ac:dyDescent="0.25">
      <c r="A450" s="19">
        <v>440</v>
      </c>
      <c r="B450" s="22">
        <v>44084</v>
      </c>
      <c r="C450" s="233" t="s">
        <v>6644</v>
      </c>
      <c r="D450" s="233"/>
      <c r="E450" s="233" t="s">
        <v>3646</v>
      </c>
      <c r="F450" s="101" t="s">
        <v>4852</v>
      </c>
      <c r="G450" s="157" t="s">
        <v>4851</v>
      </c>
      <c r="H450" s="101" t="s">
        <v>6645</v>
      </c>
      <c r="I450" s="381" t="s">
        <v>5230</v>
      </c>
      <c r="J450" s="10"/>
      <c r="K450" s="704" t="s">
        <v>1430</v>
      </c>
      <c r="L450" s="168" t="s">
        <v>572</v>
      </c>
      <c r="M450" s="705">
        <v>2643000</v>
      </c>
      <c r="N450" s="705">
        <v>2907300</v>
      </c>
      <c r="O450" s="168"/>
      <c r="P450" s="706">
        <v>45158</v>
      </c>
      <c r="Q450" s="168"/>
      <c r="R450" s="707">
        <v>0.4</v>
      </c>
      <c r="S450" s="214">
        <f t="shared" si="52"/>
        <v>1014000</v>
      </c>
      <c r="T450" s="26"/>
      <c r="U450" s="220">
        <f t="shared" si="40"/>
        <v>1594020</v>
      </c>
      <c r="V450" s="220">
        <f t="shared" si="39"/>
        <v>580020</v>
      </c>
      <c r="W450" s="19" t="s">
        <v>6646</v>
      </c>
    </row>
    <row r="451" spans="1:23" ht="47.25" x14ac:dyDescent="0.25">
      <c r="A451" s="19">
        <v>441</v>
      </c>
      <c r="B451" s="22">
        <v>44084</v>
      </c>
      <c r="C451" s="233" t="s">
        <v>6647</v>
      </c>
      <c r="D451" s="233"/>
      <c r="E451" s="233" t="s">
        <v>3646</v>
      </c>
      <c r="F451" s="101" t="s">
        <v>6649</v>
      </c>
      <c r="G451" s="157" t="s">
        <v>6648</v>
      </c>
      <c r="H451" s="101"/>
      <c r="I451" s="19"/>
      <c r="J451" s="10"/>
      <c r="K451" s="704" t="s">
        <v>1430</v>
      </c>
      <c r="L451" s="168" t="s">
        <v>572</v>
      </c>
      <c r="M451" s="705">
        <v>2643000</v>
      </c>
      <c r="N451" s="705">
        <v>2907300</v>
      </c>
      <c r="O451" s="168"/>
      <c r="P451" s="706">
        <v>45158</v>
      </c>
      <c r="Q451" s="168"/>
      <c r="R451" s="707">
        <v>0.4</v>
      </c>
      <c r="S451" s="214">
        <f t="shared" ref="S451:S454" si="53">(M451-3000*36)*40%</f>
        <v>1014000</v>
      </c>
      <c r="T451" s="26"/>
      <c r="U451" s="220">
        <f t="shared" si="40"/>
        <v>1594020</v>
      </c>
      <c r="V451" s="220">
        <f t="shared" si="39"/>
        <v>580020</v>
      </c>
      <c r="W451" s="19" t="s">
        <v>6650</v>
      </c>
    </row>
    <row r="452" spans="1:23" s="272" customFormat="1" ht="47.25" x14ac:dyDescent="0.25">
      <c r="A452" s="266">
        <v>442</v>
      </c>
      <c r="B452" s="373">
        <v>44084</v>
      </c>
      <c r="C452" s="334" t="s">
        <v>6651</v>
      </c>
      <c r="D452" s="334" t="s">
        <v>479</v>
      </c>
      <c r="E452" s="334" t="s">
        <v>3646</v>
      </c>
      <c r="F452" s="335" t="s">
        <v>6652</v>
      </c>
      <c r="G452" s="268" t="s">
        <v>6653</v>
      </c>
      <c r="H452" s="335"/>
      <c r="I452" s="266"/>
      <c r="J452" s="269"/>
      <c r="K452" s="269" t="s">
        <v>83</v>
      </c>
      <c r="L452" s="266" t="s">
        <v>572</v>
      </c>
      <c r="M452" s="273">
        <v>2828000</v>
      </c>
      <c r="N452" s="273">
        <v>3110800</v>
      </c>
      <c r="O452" s="274"/>
      <c r="P452" s="476">
        <v>45163</v>
      </c>
      <c r="Q452" s="266"/>
      <c r="R452" s="271">
        <v>0.4</v>
      </c>
      <c r="S452" s="273">
        <f t="shared" si="53"/>
        <v>1088000</v>
      </c>
      <c r="T452" s="589"/>
      <c r="U452" s="274">
        <f t="shared" si="40"/>
        <v>1708720</v>
      </c>
      <c r="V452" s="274">
        <f t="shared" si="39"/>
        <v>620720</v>
      </c>
      <c r="W452" s="266"/>
    </row>
    <row r="453" spans="1:23" s="272" customFormat="1" ht="47.25" x14ac:dyDescent="0.25">
      <c r="A453" s="266">
        <v>443</v>
      </c>
      <c r="B453" s="373">
        <v>44088</v>
      </c>
      <c r="C453" s="334" t="s">
        <v>6654</v>
      </c>
      <c r="D453" s="334" t="s">
        <v>1686</v>
      </c>
      <c r="E453" s="334"/>
      <c r="F453" s="335" t="s">
        <v>6655</v>
      </c>
      <c r="G453" s="268" t="s">
        <v>6656</v>
      </c>
      <c r="H453" s="335"/>
      <c r="I453" s="266"/>
      <c r="J453" s="269"/>
      <c r="K453" s="687" t="s">
        <v>94</v>
      </c>
      <c r="L453" s="686" t="s">
        <v>777</v>
      </c>
      <c r="M453" s="690">
        <v>1061000</v>
      </c>
      <c r="N453" s="690">
        <v>1277100</v>
      </c>
      <c r="O453" s="686"/>
      <c r="P453" s="689">
        <v>44433</v>
      </c>
      <c r="Q453" s="686"/>
      <c r="R453" s="692">
        <v>0.47</v>
      </c>
      <c r="S453" s="273">
        <f>(M453-3000*12)*40%</f>
        <v>410000</v>
      </c>
      <c r="T453" s="589">
        <f>N453-(M453*40%)</f>
        <v>852700</v>
      </c>
      <c r="U453" s="274">
        <f t="shared" si="40"/>
        <v>613180</v>
      </c>
      <c r="V453" s="274">
        <f t="shared" si="39"/>
        <v>203180</v>
      </c>
      <c r="W453" s="266"/>
    </row>
    <row r="454" spans="1:23" s="272" customFormat="1" ht="47.25" x14ac:dyDescent="0.25">
      <c r="A454" s="266">
        <v>444</v>
      </c>
      <c r="B454" s="373">
        <v>44088</v>
      </c>
      <c r="C454" s="334" t="s">
        <v>6657</v>
      </c>
      <c r="D454" s="334" t="s">
        <v>562</v>
      </c>
      <c r="E454" s="334" t="s">
        <v>3646</v>
      </c>
      <c r="F454" s="335" t="s">
        <v>6658</v>
      </c>
      <c r="G454" s="268" t="s">
        <v>6659</v>
      </c>
      <c r="H454" s="449" t="s">
        <v>6660</v>
      </c>
      <c r="I454" s="622" t="s">
        <v>6661</v>
      </c>
      <c r="J454" s="269"/>
      <c r="K454" s="687" t="s">
        <v>1430</v>
      </c>
      <c r="L454" s="686" t="s">
        <v>572</v>
      </c>
      <c r="M454" s="688">
        <v>2643000</v>
      </c>
      <c r="N454" s="688">
        <v>2907300</v>
      </c>
      <c r="O454" s="686"/>
      <c r="P454" s="689">
        <v>45158</v>
      </c>
      <c r="Q454" s="686"/>
      <c r="R454" s="692">
        <v>0.4</v>
      </c>
      <c r="S454" s="273">
        <f t="shared" si="53"/>
        <v>1014000</v>
      </c>
      <c r="T454" s="589">
        <v>507300</v>
      </c>
      <c r="U454" s="274">
        <f t="shared" si="40"/>
        <v>1594020</v>
      </c>
      <c r="V454" s="274">
        <f t="shared" si="39"/>
        <v>580020</v>
      </c>
      <c r="W454" s="266"/>
    </row>
    <row r="455" spans="1:23" ht="47.25" x14ac:dyDescent="0.25">
      <c r="A455" s="19">
        <v>445</v>
      </c>
      <c r="B455" s="22">
        <v>44088</v>
      </c>
      <c r="C455" s="233" t="s">
        <v>6662</v>
      </c>
      <c r="D455" s="233" t="s">
        <v>4618</v>
      </c>
      <c r="E455" s="233" t="s">
        <v>3646</v>
      </c>
      <c r="F455" s="101" t="s">
        <v>6663</v>
      </c>
      <c r="G455" s="157" t="s">
        <v>6664</v>
      </c>
      <c r="H455" s="343" t="s">
        <v>6665</v>
      </c>
      <c r="I455" s="381" t="s">
        <v>6666</v>
      </c>
      <c r="J455" s="10"/>
      <c r="K455" s="10" t="s">
        <v>1430</v>
      </c>
      <c r="L455" s="19" t="s">
        <v>756</v>
      </c>
      <c r="M455" s="214">
        <v>1992000</v>
      </c>
      <c r="N455" s="214">
        <v>2191200</v>
      </c>
      <c r="O455" s="266"/>
      <c r="P455" s="22">
        <v>44738</v>
      </c>
      <c r="Q455" s="266"/>
      <c r="R455" s="165">
        <v>0.4</v>
      </c>
      <c r="S455" s="214">
        <f>(M455-3000*24)*40%</f>
        <v>768000</v>
      </c>
      <c r="T455" s="26"/>
      <c r="U455" s="220">
        <f t="shared" si="40"/>
        <v>1190400</v>
      </c>
      <c r="V455" s="220">
        <f t="shared" si="39"/>
        <v>422400</v>
      </c>
      <c r="W455" s="247">
        <f>N455-S455</f>
        <v>1423200</v>
      </c>
    </row>
    <row r="456" spans="1:23" s="272" customFormat="1" ht="47.25" x14ac:dyDescent="0.25">
      <c r="A456" s="266">
        <v>446</v>
      </c>
      <c r="B456" s="373">
        <v>44088</v>
      </c>
      <c r="C456" s="334" t="s">
        <v>6667</v>
      </c>
      <c r="D456" s="334" t="s">
        <v>1260</v>
      </c>
      <c r="E456" s="334" t="s">
        <v>3646</v>
      </c>
      <c r="F456" s="335" t="s">
        <v>2669</v>
      </c>
      <c r="G456" s="268" t="s">
        <v>2670</v>
      </c>
      <c r="H456" s="335"/>
      <c r="I456" s="266"/>
      <c r="J456" s="269"/>
      <c r="K456" s="269" t="s">
        <v>83</v>
      </c>
      <c r="L456" s="266" t="s">
        <v>572</v>
      </c>
      <c r="M456" s="273">
        <v>2828000</v>
      </c>
      <c r="N456" s="273">
        <v>3110800</v>
      </c>
      <c r="O456" s="274"/>
      <c r="P456" s="476">
        <v>45163</v>
      </c>
      <c r="Q456" s="266"/>
      <c r="R456" s="271">
        <v>0.4</v>
      </c>
      <c r="S456" s="273">
        <v>1360800</v>
      </c>
      <c r="T456" s="589"/>
      <c r="U456" s="274">
        <f t="shared" si="40"/>
        <v>1708720</v>
      </c>
      <c r="V456" s="274">
        <f t="shared" si="39"/>
        <v>347920</v>
      </c>
      <c r="W456" s="266"/>
    </row>
    <row r="457" spans="1:23" s="272" customFormat="1" ht="47.25" x14ac:dyDescent="0.25">
      <c r="A457" s="266">
        <v>447</v>
      </c>
      <c r="B457" s="373">
        <v>44088</v>
      </c>
      <c r="C457" s="334" t="s">
        <v>2220</v>
      </c>
      <c r="D457" s="334" t="s">
        <v>1260</v>
      </c>
      <c r="E457" s="334" t="s">
        <v>3646</v>
      </c>
      <c r="F457" s="335" t="s">
        <v>2221</v>
      </c>
      <c r="G457" s="268" t="s">
        <v>2596</v>
      </c>
      <c r="H457" s="335"/>
      <c r="I457" s="266"/>
      <c r="J457" s="269"/>
      <c r="K457" s="269" t="s">
        <v>83</v>
      </c>
      <c r="L457" s="266" t="s">
        <v>572</v>
      </c>
      <c r="M457" s="273">
        <v>2828000</v>
      </c>
      <c r="N457" s="273">
        <v>3110800</v>
      </c>
      <c r="O457" s="274"/>
      <c r="P457" s="476">
        <v>45163</v>
      </c>
      <c r="Q457" s="266"/>
      <c r="R457" s="271">
        <v>0.4</v>
      </c>
      <c r="S457" s="273">
        <v>1360800</v>
      </c>
      <c r="T457" s="589"/>
      <c r="U457" s="274">
        <f t="shared" si="40"/>
        <v>1708720</v>
      </c>
      <c r="V457" s="274">
        <f t="shared" si="39"/>
        <v>347920</v>
      </c>
      <c r="W457" s="266"/>
    </row>
    <row r="458" spans="1:23" ht="47.25" x14ac:dyDescent="0.25">
      <c r="A458" s="19">
        <v>448</v>
      </c>
      <c r="B458" s="22">
        <v>44089</v>
      </c>
      <c r="C458" s="233" t="s">
        <v>6669</v>
      </c>
      <c r="D458" s="233"/>
      <c r="E458" s="233" t="s">
        <v>3646</v>
      </c>
      <c r="F458" s="101" t="s">
        <v>6668</v>
      </c>
      <c r="G458" s="157" t="s">
        <v>6672</v>
      </c>
      <c r="H458" s="101" t="s">
        <v>6671</v>
      </c>
      <c r="I458" s="381" t="s">
        <v>6670</v>
      </c>
      <c r="J458" s="10"/>
      <c r="K458" s="704" t="s">
        <v>1430</v>
      </c>
      <c r="L458" s="168" t="s">
        <v>572</v>
      </c>
      <c r="M458" s="705">
        <v>2643000</v>
      </c>
      <c r="N458" s="705">
        <v>2907300</v>
      </c>
      <c r="O458" s="168"/>
      <c r="P458" s="706">
        <v>45158</v>
      </c>
      <c r="Q458" s="168"/>
      <c r="R458" s="707">
        <v>0.4</v>
      </c>
      <c r="S458" s="214">
        <f t="shared" ref="S458" si="54">(M458-3000*36)*40%</f>
        <v>1014000</v>
      </c>
      <c r="T458" s="26"/>
      <c r="U458" s="220">
        <f t="shared" si="40"/>
        <v>1594020</v>
      </c>
      <c r="V458" s="220">
        <f t="shared" si="39"/>
        <v>580020</v>
      </c>
      <c r="W458" s="19" t="s">
        <v>7019</v>
      </c>
    </row>
    <row r="459" spans="1:23" s="272" customFormat="1" ht="47.25" x14ac:dyDescent="0.25">
      <c r="A459" s="266">
        <v>449</v>
      </c>
      <c r="B459" s="373">
        <v>44089</v>
      </c>
      <c r="C459" s="334" t="s">
        <v>6673</v>
      </c>
      <c r="D459" s="334" t="s">
        <v>2404</v>
      </c>
      <c r="E459" s="334"/>
      <c r="F459" s="335" t="s">
        <v>6674</v>
      </c>
      <c r="G459" s="268" t="s">
        <v>6675</v>
      </c>
      <c r="H459" s="335"/>
      <c r="I459" s="266"/>
      <c r="J459" s="269"/>
      <c r="K459" s="655" t="s">
        <v>180</v>
      </c>
      <c r="L459" s="651" t="s">
        <v>777</v>
      </c>
      <c r="M459" s="656">
        <v>1161000</v>
      </c>
      <c r="N459" s="656">
        <v>1827100</v>
      </c>
      <c r="O459" s="651"/>
      <c r="P459" s="652">
        <v>44408</v>
      </c>
      <c r="Q459" s="651"/>
      <c r="R459" s="657">
        <v>0.4</v>
      </c>
      <c r="S459" s="656">
        <f>(M459-3000*12)*40%</f>
        <v>450000</v>
      </c>
      <c r="T459" s="589"/>
      <c r="U459" s="274">
        <f t="shared" si="40"/>
        <v>675180</v>
      </c>
      <c r="V459" s="274">
        <f t="shared" si="39"/>
        <v>225180</v>
      </c>
      <c r="W459" s="266"/>
    </row>
    <row r="460" spans="1:23" s="800" customFormat="1" ht="47.25" x14ac:dyDescent="0.25">
      <c r="A460" s="424">
        <v>450</v>
      </c>
      <c r="B460" s="789">
        <v>44090</v>
      </c>
      <c r="C460" s="790" t="s">
        <v>6676</v>
      </c>
      <c r="D460" s="790" t="s">
        <v>4618</v>
      </c>
      <c r="E460" s="790" t="s">
        <v>3646</v>
      </c>
      <c r="F460" s="791" t="s">
        <v>6678</v>
      </c>
      <c r="G460" s="792" t="s">
        <v>6679</v>
      </c>
      <c r="H460" s="793" t="s">
        <v>6677</v>
      </c>
      <c r="I460" s="424"/>
      <c r="J460" s="424"/>
      <c r="K460" s="794" t="s">
        <v>1430</v>
      </c>
      <c r="L460" s="794" t="s">
        <v>572</v>
      </c>
      <c r="M460" s="795">
        <v>2643000</v>
      </c>
      <c r="N460" s="795">
        <v>2907300</v>
      </c>
      <c r="O460" s="753"/>
      <c r="P460" s="796">
        <v>45158</v>
      </c>
      <c r="Q460" s="753"/>
      <c r="R460" s="797">
        <v>0.4</v>
      </c>
      <c r="S460" s="798">
        <f>40%*M460</f>
        <v>1057200</v>
      </c>
      <c r="T460" s="799"/>
      <c r="U460" s="424">
        <f t="shared" si="40"/>
        <v>1594020</v>
      </c>
      <c r="V460" s="424">
        <f t="shared" si="39"/>
        <v>536820</v>
      </c>
      <c r="W460" s="424"/>
    </row>
    <row r="461" spans="1:23" ht="47.25" x14ac:dyDescent="0.25">
      <c r="A461" s="19">
        <v>451</v>
      </c>
      <c r="B461" s="22">
        <v>44090</v>
      </c>
      <c r="C461" s="233" t="s">
        <v>6680</v>
      </c>
      <c r="D461" s="233" t="s">
        <v>4618</v>
      </c>
      <c r="E461" s="233" t="s">
        <v>3646</v>
      </c>
      <c r="F461" s="101" t="s">
        <v>6682</v>
      </c>
      <c r="G461" s="157" t="s">
        <v>6681</v>
      </c>
      <c r="H461" s="343" t="s">
        <v>6683</v>
      </c>
      <c r="I461" s="19"/>
      <c r="J461" s="10"/>
      <c r="K461" s="704" t="s">
        <v>1430</v>
      </c>
      <c r="L461" s="168" t="s">
        <v>756</v>
      </c>
      <c r="M461" s="214">
        <v>1992000</v>
      </c>
      <c r="N461" s="214">
        <v>2191200</v>
      </c>
      <c r="O461" s="686"/>
      <c r="P461" s="706">
        <v>45158</v>
      </c>
      <c r="Q461" s="686"/>
      <c r="R461" s="707">
        <v>0.4</v>
      </c>
      <c r="S461" s="214">
        <f>40%*M461</f>
        <v>796800</v>
      </c>
      <c r="T461" s="26"/>
      <c r="U461" s="220">
        <f t="shared" si="40"/>
        <v>1190400</v>
      </c>
      <c r="V461" s="220">
        <f t="shared" si="39"/>
        <v>393600</v>
      </c>
      <c r="W461" s="19"/>
    </row>
    <row r="462" spans="1:23" s="272" customFormat="1" ht="47.25" x14ac:dyDescent="0.25">
      <c r="A462" s="266">
        <v>452</v>
      </c>
      <c r="B462" s="373">
        <v>44091</v>
      </c>
      <c r="C462" s="334" t="s">
        <v>6684</v>
      </c>
      <c r="D462" s="334" t="s">
        <v>309</v>
      </c>
      <c r="E462" s="334" t="s">
        <v>309</v>
      </c>
      <c r="F462" s="335" t="s">
        <v>4771</v>
      </c>
      <c r="G462" s="268" t="s">
        <v>4772</v>
      </c>
      <c r="H462" s="335"/>
      <c r="I462" s="266"/>
      <c r="J462" s="269"/>
      <c r="K462" s="269" t="s">
        <v>83</v>
      </c>
      <c r="L462" s="266" t="s">
        <v>572</v>
      </c>
      <c r="M462" s="273">
        <v>2828000</v>
      </c>
      <c r="N462" s="273">
        <v>3110800</v>
      </c>
      <c r="O462" s="274"/>
      <c r="P462" s="476">
        <v>45163</v>
      </c>
      <c r="Q462" s="266"/>
      <c r="R462" s="271">
        <v>0.4</v>
      </c>
      <c r="S462" s="273">
        <f t="shared" ref="S462:S468" si="55">(M462-3000*36)*40%</f>
        <v>1088000</v>
      </c>
      <c r="T462" s="589"/>
      <c r="U462" s="274">
        <f t="shared" si="40"/>
        <v>1708720</v>
      </c>
      <c r="V462" s="274">
        <f t="shared" si="39"/>
        <v>620720</v>
      </c>
      <c r="W462" s="266"/>
    </row>
    <row r="463" spans="1:23" s="272" customFormat="1" ht="47.25" x14ac:dyDescent="0.25">
      <c r="A463" s="266">
        <v>453</v>
      </c>
      <c r="B463" s="373">
        <v>44091</v>
      </c>
      <c r="C463" s="334" t="s">
        <v>6685</v>
      </c>
      <c r="D463" s="334" t="s">
        <v>457</v>
      </c>
      <c r="E463" s="334"/>
      <c r="F463" s="335" t="s">
        <v>3038</v>
      </c>
      <c r="G463" s="268" t="s">
        <v>3039</v>
      </c>
      <c r="H463" s="335"/>
      <c r="I463" s="266"/>
      <c r="J463" s="269"/>
      <c r="K463" s="687" t="s">
        <v>1430</v>
      </c>
      <c r="L463" s="686" t="s">
        <v>572</v>
      </c>
      <c r="M463" s="688">
        <v>2643000</v>
      </c>
      <c r="N463" s="688">
        <v>2907300</v>
      </c>
      <c r="O463" s="686"/>
      <c r="P463" s="689">
        <v>45158</v>
      </c>
      <c r="Q463" s="686"/>
      <c r="R463" s="692">
        <v>0.4</v>
      </c>
      <c r="S463" s="273">
        <f t="shared" si="55"/>
        <v>1014000</v>
      </c>
      <c r="T463" s="589"/>
      <c r="U463" s="274">
        <f t="shared" si="40"/>
        <v>1594020</v>
      </c>
      <c r="V463" s="274">
        <f t="shared" si="39"/>
        <v>580020</v>
      </c>
      <c r="W463" s="266"/>
    </row>
    <row r="464" spans="1:23" s="426" customFormat="1" ht="63" x14ac:dyDescent="0.25">
      <c r="A464" s="418">
        <v>454</v>
      </c>
      <c r="B464" s="419">
        <v>44091</v>
      </c>
      <c r="C464" s="420" t="s">
        <v>6686</v>
      </c>
      <c r="D464" s="420" t="s">
        <v>562</v>
      </c>
      <c r="E464" s="420" t="s">
        <v>3646</v>
      </c>
      <c r="F464" s="421" t="s">
        <v>6687</v>
      </c>
      <c r="G464" s="422" t="s">
        <v>6688</v>
      </c>
      <c r="H464" s="421"/>
      <c r="I464" s="418"/>
      <c r="J464" s="418"/>
      <c r="K464" s="753" t="s">
        <v>1430</v>
      </c>
      <c r="L464" s="753" t="s">
        <v>572</v>
      </c>
      <c r="M464" s="754">
        <v>2643000</v>
      </c>
      <c r="N464" s="754">
        <v>2907300</v>
      </c>
      <c r="O464" s="753"/>
      <c r="P464" s="755">
        <v>45158</v>
      </c>
      <c r="Q464" s="753"/>
      <c r="R464" s="756">
        <v>0.4</v>
      </c>
      <c r="S464" s="425">
        <f t="shared" si="55"/>
        <v>1014000</v>
      </c>
      <c r="T464" s="590">
        <v>500000</v>
      </c>
      <c r="U464" s="418">
        <f t="shared" si="40"/>
        <v>1594020</v>
      </c>
      <c r="V464" s="418">
        <f t="shared" si="39"/>
        <v>580020</v>
      </c>
      <c r="W464" s="418"/>
    </row>
    <row r="465" spans="1:23" s="272" customFormat="1" ht="78.75" x14ac:dyDescent="0.25">
      <c r="A465" s="266">
        <v>455</v>
      </c>
      <c r="B465" s="373">
        <v>44091</v>
      </c>
      <c r="C465" s="334" t="s">
        <v>6689</v>
      </c>
      <c r="D465" s="334" t="s">
        <v>6690</v>
      </c>
      <c r="E465" s="334" t="s">
        <v>3646</v>
      </c>
      <c r="F465" s="335" t="s">
        <v>6691</v>
      </c>
      <c r="G465" s="268" t="s">
        <v>6692</v>
      </c>
      <c r="H465" s="335" t="s">
        <v>6690</v>
      </c>
      <c r="I465" s="266"/>
      <c r="J465" s="269"/>
      <c r="K465" s="269" t="s">
        <v>83</v>
      </c>
      <c r="L465" s="266" t="s">
        <v>572</v>
      </c>
      <c r="M465" s="273">
        <v>2828000</v>
      </c>
      <c r="N465" s="273">
        <v>3110800</v>
      </c>
      <c r="O465" s="274"/>
      <c r="P465" s="476">
        <v>45163</v>
      </c>
      <c r="Q465" s="266"/>
      <c r="R465" s="271">
        <v>0.4</v>
      </c>
      <c r="S465" s="273">
        <f t="shared" si="55"/>
        <v>1088000</v>
      </c>
      <c r="T465" s="589"/>
      <c r="U465" s="274">
        <f t="shared" si="40"/>
        <v>1708720</v>
      </c>
      <c r="V465" s="274">
        <f t="shared" si="39"/>
        <v>620720</v>
      </c>
      <c r="W465" s="266"/>
    </row>
    <row r="466" spans="1:23" ht="63" x14ac:dyDescent="0.25">
      <c r="A466" s="19">
        <v>456</v>
      </c>
      <c r="B466" s="22">
        <v>44092</v>
      </c>
      <c r="C466" s="233" t="s">
        <v>6693</v>
      </c>
      <c r="D466" s="233" t="s">
        <v>562</v>
      </c>
      <c r="E466" s="233" t="s">
        <v>3646</v>
      </c>
      <c r="F466" s="101" t="s">
        <v>6694</v>
      </c>
      <c r="G466" s="157" t="s">
        <v>6695</v>
      </c>
      <c r="H466" s="101" t="s">
        <v>6696</v>
      </c>
      <c r="I466" s="19"/>
      <c r="J466" s="10"/>
      <c r="K466" s="704" t="s">
        <v>1430</v>
      </c>
      <c r="L466" s="168" t="s">
        <v>572</v>
      </c>
      <c r="M466" s="705">
        <v>2643000</v>
      </c>
      <c r="N466" s="705">
        <v>2907300</v>
      </c>
      <c r="O466" s="168"/>
      <c r="P466" s="706">
        <v>45158</v>
      </c>
      <c r="Q466" s="168"/>
      <c r="R466" s="707">
        <v>0.4</v>
      </c>
      <c r="S466" s="214">
        <f t="shared" si="55"/>
        <v>1014000</v>
      </c>
      <c r="T466" s="26">
        <v>507300</v>
      </c>
      <c r="U466" s="220">
        <f t="shared" si="40"/>
        <v>1594020</v>
      </c>
      <c r="V466" s="220">
        <f t="shared" si="39"/>
        <v>580020</v>
      </c>
      <c r="W466" s="19" t="s">
        <v>6885</v>
      </c>
    </row>
    <row r="467" spans="1:23" ht="47.25" x14ac:dyDescent="0.25">
      <c r="A467" s="19">
        <v>457</v>
      </c>
      <c r="B467" s="22">
        <v>44095</v>
      </c>
      <c r="C467" s="233" t="s">
        <v>6697</v>
      </c>
      <c r="D467" s="233" t="s">
        <v>562</v>
      </c>
      <c r="E467" s="233" t="s">
        <v>3479</v>
      </c>
      <c r="F467" s="101" t="s">
        <v>6698</v>
      </c>
      <c r="G467" s="157" t="s">
        <v>6699</v>
      </c>
      <c r="H467" s="101" t="s">
        <v>6700</v>
      </c>
      <c r="I467" s="19"/>
      <c r="J467" s="10"/>
      <c r="K467" s="704" t="s">
        <v>1430</v>
      </c>
      <c r="L467" s="168" t="s">
        <v>572</v>
      </c>
      <c r="M467" s="705">
        <v>2643000</v>
      </c>
      <c r="N467" s="705">
        <v>2907300</v>
      </c>
      <c r="O467" s="168"/>
      <c r="P467" s="706">
        <v>45158</v>
      </c>
      <c r="Q467" s="168"/>
      <c r="R467" s="707">
        <v>0.4</v>
      </c>
      <c r="S467" s="214">
        <f t="shared" si="55"/>
        <v>1014000</v>
      </c>
      <c r="T467" s="26">
        <v>507300</v>
      </c>
      <c r="U467" s="220">
        <f t="shared" si="40"/>
        <v>1594020</v>
      </c>
      <c r="V467" s="220">
        <f t="shared" si="39"/>
        <v>580020</v>
      </c>
      <c r="W467" s="19" t="s">
        <v>6650</v>
      </c>
    </row>
    <row r="468" spans="1:23" s="272" customFormat="1" ht="47.25" x14ac:dyDescent="0.25">
      <c r="A468" s="266">
        <v>458</v>
      </c>
      <c r="B468" s="373">
        <v>44095</v>
      </c>
      <c r="C468" s="334" t="s">
        <v>6701</v>
      </c>
      <c r="D468" s="334" t="s">
        <v>3622</v>
      </c>
      <c r="E468" s="334"/>
      <c r="F468" s="335" t="s">
        <v>6703</v>
      </c>
      <c r="G468" s="268" t="s">
        <v>6702</v>
      </c>
      <c r="H468" s="335" t="s">
        <v>6704</v>
      </c>
      <c r="I468" s="266"/>
      <c r="J468" s="269"/>
      <c r="K468" s="687" t="s">
        <v>1430</v>
      </c>
      <c r="L468" s="686" t="s">
        <v>572</v>
      </c>
      <c r="M468" s="688">
        <v>2643000</v>
      </c>
      <c r="N468" s="688">
        <v>2907300</v>
      </c>
      <c r="O468" s="686"/>
      <c r="P468" s="689">
        <v>45158</v>
      </c>
      <c r="Q468" s="686"/>
      <c r="R468" s="692">
        <v>0.4</v>
      </c>
      <c r="S468" s="273">
        <f t="shared" si="55"/>
        <v>1014000</v>
      </c>
      <c r="T468" s="589"/>
      <c r="U468" s="274">
        <f t="shared" si="40"/>
        <v>1594020</v>
      </c>
      <c r="V468" s="274">
        <f t="shared" si="39"/>
        <v>580020</v>
      </c>
      <c r="W468" s="266"/>
    </row>
    <row r="469" spans="1:23" ht="31.5" x14ac:dyDescent="0.25">
      <c r="A469" s="266">
        <v>459</v>
      </c>
      <c r="B469" s="22">
        <v>44095</v>
      </c>
      <c r="C469" s="233" t="s">
        <v>6705</v>
      </c>
      <c r="D469" s="233" t="s">
        <v>457</v>
      </c>
      <c r="E469" s="233"/>
      <c r="F469" s="101" t="s">
        <v>6706</v>
      </c>
      <c r="G469" s="157" t="s">
        <v>6707</v>
      </c>
      <c r="H469" s="101"/>
      <c r="I469" s="19"/>
      <c r="J469" s="10"/>
      <c r="K469" s="269" t="s">
        <v>83</v>
      </c>
      <c r="L469" s="266" t="s">
        <v>572</v>
      </c>
      <c r="M469" s="273">
        <v>2828000</v>
      </c>
      <c r="N469" s="273">
        <v>3110800</v>
      </c>
      <c r="O469" s="274"/>
      <c r="P469" s="476">
        <v>45163</v>
      </c>
      <c r="Q469" s="266"/>
      <c r="R469" s="271">
        <v>0.4</v>
      </c>
      <c r="S469" s="273">
        <f t="shared" ref="S469" si="56">(M469-3000*36)*40%</f>
        <v>1088000</v>
      </c>
      <c r="T469" s="26"/>
      <c r="U469" s="274">
        <f t="shared" si="40"/>
        <v>1708720</v>
      </c>
      <c r="V469" s="220"/>
      <c r="W469" s="19"/>
    </row>
    <row r="470" spans="1:23" ht="47.25" x14ac:dyDescent="0.25">
      <c r="A470" s="19">
        <v>460</v>
      </c>
      <c r="B470" s="22">
        <v>44096</v>
      </c>
      <c r="C470" s="233" t="s">
        <v>6708</v>
      </c>
      <c r="D470" s="233" t="s">
        <v>3622</v>
      </c>
      <c r="E470" s="233"/>
      <c r="F470" s="101" t="s">
        <v>6710</v>
      </c>
      <c r="G470" s="157" t="s">
        <v>6709</v>
      </c>
      <c r="H470" s="101"/>
      <c r="I470" s="19"/>
      <c r="J470" s="10"/>
      <c r="K470" s="704" t="s">
        <v>94</v>
      </c>
      <c r="L470" s="168" t="s">
        <v>777</v>
      </c>
      <c r="M470" s="713">
        <v>1061000</v>
      </c>
      <c r="N470" s="713">
        <v>1277100</v>
      </c>
      <c r="O470" s="168"/>
      <c r="P470" s="706">
        <v>44433</v>
      </c>
      <c r="Q470" s="168"/>
      <c r="R470" s="707">
        <v>0.4</v>
      </c>
      <c r="S470" s="214">
        <f>(M470-3000*12)*40%</f>
        <v>410000</v>
      </c>
      <c r="T470" s="26">
        <v>277100</v>
      </c>
      <c r="U470" s="220">
        <f t="shared" si="40"/>
        <v>613180</v>
      </c>
      <c r="V470" s="220">
        <f t="shared" si="39"/>
        <v>203180</v>
      </c>
      <c r="W470" s="19"/>
    </row>
    <row r="471" spans="1:23" s="786" customFormat="1" ht="42.75" customHeight="1" x14ac:dyDescent="0.25">
      <c r="A471" s="779">
        <v>461</v>
      </c>
      <c r="B471" s="778">
        <v>44096</v>
      </c>
      <c r="C471" s="781" t="s">
        <v>6711</v>
      </c>
      <c r="D471" s="781" t="s">
        <v>6713</v>
      </c>
      <c r="E471" s="781"/>
      <c r="F471" s="782" t="s">
        <v>6714</v>
      </c>
      <c r="G471" s="783" t="s">
        <v>6712</v>
      </c>
      <c r="H471" s="782"/>
      <c r="I471" s="772"/>
      <c r="J471" s="771"/>
      <c r="K471" s="682" t="s">
        <v>1430</v>
      </c>
      <c r="L471" s="683" t="s">
        <v>572</v>
      </c>
      <c r="M471" s="684">
        <v>2643000</v>
      </c>
      <c r="N471" s="684">
        <v>2907300</v>
      </c>
      <c r="O471" s="651"/>
      <c r="P471" s="685">
        <v>45158</v>
      </c>
      <c r="Q471" s="651"/>
      <c r="R471" s="770">
        <v>0.5</v>
      </c>
      <c r="S471" s="761">
        <f>(M471-3000*36)*50%</f>
        <v>1267500</v>
      </c>
      <c r="T471" s="784"/>
      <c r="U471" s="785">
        <f t="shared" si="40"/>
        <v>1594020</v>
      </c>
      <c r="V471" s="785">
        <f t="shared" si="39"/>
        <v>326520</v>
      </c>
      <c r="W471" s="772" t="s">
        <v>7208</v>
      </c>
    </row>
    <row r="472" spans="1:23" s="660" customFormat="1" ht="63" x14ac:dyDescent="0.25">
      <c r="A472" s="651">
        <v>462</v>
      </c>
      <c r="B472" s="652">
        <v>44096</v>
      </c>
      <c r="C472" s="334" t="s">
        <v>6715</v>
      </c>
      <c r="D472" s="334" t="s">
        <v>3622</v>
      </c>
      <c r="E472" s="334"/>
      <c r="F472" s="653" t="s">
        <v>6717</v>
      </c>
      <c r="G472" s="654" t="s">
        <v>6716</v>
      </c>
      <c r="H472" s="653"/>
      <c r="I472" s="651"/>
      <c r="J472" s="655"/>
      <c r="K472" s="655" t="s">
        <v>1430</v>
      </c>
      <c r="L472" s="651" t="s">
        <v>572</v>
      </c>
      <c r="M472" s="670">
        <v>2643000</v>
      </c>
      <c r="N472" s="670">
        <v>2907300</v>
      </c>
      <c r="O472" s="651"/>
      <c r="P472" s="652">
        <v>45158</v>
      </c>
      <c r="Q472" s="651"/>
      <c r="R472" s="657">
        <v>0.4</v>
      </c>
      <c r="S472" s="656">
        <f>(M472-3000*12)*40%</f>
        <v>1042800</v>
      </c>
      <c r="T472" s="658"/>
      <c r="U472" s="659">
        <f t="shared" si="40"/>
        <v>1594020</v>
      </c>
      <c r="V472" s="659">
        <f t="shared" ref="V472:V535" si="57">U472-S472</f>
        <v>551220</v>
      </c>
      <c r="W472" s="651"/>
    </row>
    <row r="473" spans="1:23" s="760" customFormat="1" ht="78.75" x14ac:dyDescent="0.25">
      <c r="A473" s="683">
        <v>463</v>
      </c>
      <c r="B473" s="685">
        <v>44097</v>
      </c>
      <c r="C473" s="781" t="s">
        <v>6711</v>
      </c>
      <c r="D473" s="781" t="s">
        <v>6713</v>
      </c>
      <c r="E473" s="781"/>
      <c r="F473" s="782" t="s">
        <v>6714</v>
      </c>
      <c r="G473" s="783" t="s">
        <v>6712</v>
      </c>
      <c r="H473" s="757"/>
      <c r="I473" s="683"/>
      <c r="J473" s="682"/>
      <c r="K473" s="682" t="s">
        <v>1430</v>
      </c>
      <c r="L473" s="683" t="s">
        <v>572</v>
      </c>
      <c r="M473" s="684">
        <v>2643000</v>
      </c>
      <c r="N473" s="684">
        <v>2907300</v>
      </c>
      <c r="O473" s="651"/>
      <c r="P473" s="685">
        <v>45158</v>
      </c>
      <c r="Q473" s="651"/>
      <c r="R473" s="770">
        <v>0.5</v>
      </c>
      <c r="S473" s="761">
        <f>(M473-3000*36)*50%</f>
        <v>1267500</v>
      </c>
      <c r="T473" s="758"/>
      <c r="U473" s="759">
        <f t="shared" si="40"/>
        <v>1594020</v>
      </c>
      <c r="V473" s="759">
        <f t="shared" si="57"/>
        <v>326520</v>
      </c>
      <c r="W473" s="772" t="s">
        <v>7208</v>
      </c>
    </row>
    <row r="474" spans="1:23" s="760" customFormat="1" ht="47.25" x14ac:dyDescent="0.25">
      <c r="A474" s="683">
        <v>464</v>
      </c>
      <c r="B474" s="685">
        <v>44097</v>
      </c>
      <c r="C474" s="233" t="s">
        <v>6718</v>
      </c>
      <c r="D474" s="781" t="s">
        <v>6713</v>
      </c>
      <c r="E474" s="233"/>
      <c r="F474" s="757" t="s">
        <v>6720</v>
      </c>
      <c r="G474" s="234" t="s">
        <v>6719</v>
      </c>
      <c r="H474" s="757"/>
      <c r="I474" s="683"/>
      <c r="J474" s="682"/>
      <c r="K474" s="10" t="s">
        <v>1430</v>
      </c>
      <c r="L474" s="19" t="s">
        <v>756</v>
      </c>
      <c r="M474" s="214">
        <v>1992000</v>
      </c>
      <c r="N474" s="214">
        <v>2191200</v>
      </c>
      <c r="O474" s="266"/>
      <c r="P474" s="22">
        <v>44738</v>
      </c>
      <c r="Q474" s="266"/>
      <c r="R474" s="165">
        <v>0.5</v>
      </c>
      <c r="S474" s="761">
        <f>(M474-3000*24)*50%</f>
        <v>960000</v>
      </c>
      <c r="T474" s="758"/>
      <c r="U474" s="759">
        <f t="shared" si="40"/>
        <v>1190400</v>
      </c>
      <c r="V474" s="759">
        <f t="shared" si="57"/>
        <v>230400</v>
      </c>
      <c r="W474" s="772" t="s">
        <v>7208</v>
      </c>
    </row>
    <row r="475" spans="1:23" s="660" customFormat="1" ht="47.25" x14ac:dyDescent="0.25">
      <c r="A475" s="651">
        <v>465</v>
      </c>
      <c r="B475" s="652">
        <v>44097</v>
      </c>
      <c r="C475" s="334" t="s">
        <v>6721</v>
      </c>
      <c r="D475" s="334" t="s">
        <v>562</v>
      </c>
      <c r="E475" s="334" t="s">
        <v>3479</v>
      </c>
      <c r="F475" s="653" t="s">
        <v>6722</v>
      </c>
      <c r="G475" s="654" t="s">
        <v>6723</v>
      </c>
      <c r="H475" s="653" t="s">
        <v>6725</v>
      </c>
      <c r="I475" s="651"/>
      <c r="J475" s="655"/>
      <c r="K475" s="655" t="s">
        <v>1430</v>
      </c>
      <c r="L475" s="651" t="s">
        <v>572</v>
      </c>
      <c r="M475" s="670">
        <v>2643000</v>
      </c>
      <c r="N475" s="670">
        <v>2907300</v>
      </c>
      <c r="O475" s="651"/>
      <c r="P475" s="652">
        <v>45158</v>
      </c>
      <c r="Q475" s="651"/>
      <c r="R475" s="657">
        <v>0.4</v>
      </c>
      <c r="S475" s="656">
        <f>(M475-3000*36)*40%</f>
        <v>1014000</v>
      </c>
      <c r="T475" s="658">
        <v>507300</v>
      </c>
      <c r="U475" s="659">
        <f t="shared" si="40"/>
        <v>1594020</v>
      </c>
      <c r="V475" s="659">
        <f t="shared" si="57"/>
        <v>580020</v>
      </c>
      <c r="W475" s="651"/>
    </row>
    <row r="476" spans="1:23" s="760" customFormat="1" ht="63" x14ac:dyDescent="0.25">
      <c r="A476" s="683">
        <v>466</v>
      </c>
      <c r="B476" s="685">
        <v>44097</v>
      </c>
      <c r="C476" s="233" t="s">
        <v>6686</v>
      </c>
      <c r="D476" s="233" t="s">
        <v>562</v>
      </c>
      <c r="E476" s="233" t="s">
        <v>3479</v>
      </c>
      <c r="F476" s="757" t="s">
        <v>6687</v>
      </c>
      <c r="G476" s="234" t="s">
        <v>6688</v>
      </c>
      <c r="H476" s="757" t="s">
        <v>6724</v>
      </c>
      <c r="I476" s="683"/>
      <c r="J476" s="682"/>
      <c r="K476" s="10" t="s">
        <v>83</v>
      </c>
      <c r="L476" s="19" t="s">
        <v>572</v>
      </c>
      <c r="M476" s="214">
        <v>2828000</v>
      </c>
      <c r="N476" s="214">
        <v>3110800</v>
      </c>
      <c r="O476" s="220"/>
      <c r="P476" s="239">
        <v>45192</v>
      </c>
      <c r="Q476" s="683"/>
      <c r="R476" s="770">
        <v>0.4</v>
      </c>
      <c r="S476" s="761">
        <f>(M476-3000*36)*40%</f>
        <v>1088000</v>
      </c>
      <c r="T476" s="758">
        <v>500000</v>
      </c>
      <c r="U476" s="759">
        <f t="shared" si="40"/>
        <v>1708720</v>
      </c>
      <c r="V476" s="759">
        <f t="shared" si="57"/>
        <v>620720</v>
      </c>
      <c r="W476" s="683" t="s">
        <v>7210</v>
      </c>
    </row>
    <row r="477" spans="1:23" s="660" customFormat="1" ht="63" x14ac:dyDescent="0.25">
      <c r="A477" s="651">
        <v>467</v>
      </c>
      <c r="B477" s="652">
        <v>44097</v>
      </c>
      <c r="C477" s="334" t="s">
        <v>6726</v>
      </c>
      <c r="D477" s="334" t="s">
        <v>3479</v>
      </c>
      <c r="E477" s="334"/>
      <c r="F477" s="653" t="s">
        <v>6727</v>
      </c>
      <c r="G477" s="654" t="s">
        <v>6728</v>
      </c>
      <c r="H477" s="653"/>
      <c r="I477" s="651"/>
      <c r="J477" s="655"/>
      <c r="K477" s="269" t="s">
        <v>83</v>
      </c>
      <c r="L477" s="266" t="s">
        <v>572</v>
      </c>
      <c r="M477" s="273">
        <v>2828000</v>
      </c>
      <c r="N477" s="273">
        <v>3110800</v>
      </c>
      <c r="O477" s="274"/>
      <c r="P477" s="476">
        <v>45192</v>
      </c>
      <c r="Q477" s="651"/>
      <c r="R477" s="657">
        <v>0.4</v>
      </c>
      <c r="S477" s="656">
        <f>(M477-3000*36)*40%</f>
        <v>1088000</v>
      </c>
      <c r="T477" s="658"/>
      <c r="U477" s="659">
        <f t="shared" si="40"/>
        <v>1708720</v>
      </c>
      <c r="V477" s="659">
        <f t="shared" si="57"/>
        <v>620720</v>
      </c>
      <c r="W477" s="651"/>
    </row>
    <row r="478" spans="1:23" s="760" customFormat="1" ht="47.25" x14ac:dyDescent="0.25">
      <c r="A478" s="683">
        <v>468</v>
      </c>
      <c r="B478" s="685">
        <v>44098</v>
      </c>
      <c r="C478" s="233" t="s">
        <v>6730</v>
      </c>
      <c r="D478" s="233" t="s">
        <v>562</v>
      </c>
      <c r="E478" s="233" t="s">
        <v>3646</v>
      </c>
      <c r="F478" s="757" t="s">
        <v>6731</v>
      </c>
      <c r="G478" s="234" t="s">
        <v>6732</v>
      </c>
      <c r="H478" s="757" t="s">
        <v>6729</v>
      </c>
      <c r="I478" s="683"/>
      <c r="J478" s="682"/>
      <c r="K478" s="682" t="s">
        <v>1430</v>
      </c>
      <c r="L478" s="683" t="s">
        <v>572</v>
      </c>
      <c r="M478" s="684">
        <v>2643000</v>
      </c>
      <c r="N478" s="684">
        <v>2907300</v>
      </c>
      <c r="O478" s="683"/>
      <c r="P478" s="685">
        <v>45158</v>
      </c>
      <c r="Q478" s="683"/>
      <c r="R478" s="770">
        <v>0.4</v>
      </c>
      <c r="S478" s="761">
        <f>(M478-3000*36)*40%</f>
        <v>1014000</v>
      </c>
      <c r="T478" s="758">
        <v>507300</v>
      </c>
      <c r="U478" s="759">
        <f t="shared" si="40"/>
        <v>1594020</v>
      </c>
      <c r="V478" s="759">
        <f t="shared" si="57"/>
        <v>580020</v>
      </c>
      <c r="W478" s="683"/>
    </row>
    <row r="479" spans="1:23" s="760" customFormat="1" ht="63" x14ac:dyDescent="0.25">
      <c r="A479" s="683">
        <v>469</v>
      </c>
      <c r="B479" s="685">
        <v>44099</v>
      </c>
      <c r="C479" s="233" t="s">
        <v>6733</v>
      </c>
      <c r="D479" s="233" t="s">
        <v>6713</v>
      </c>
      <c r="E479" s="233" t="s">
        <v>3479</v>
      </c>
      <c r="F479" s="757" t="s">
        <v>6734</v>
      </c>
      <c r="G479" s="234" t="s">
        <v>6735</v>
      </c>
      <c r="H479" s="757"/>
      <c r="I479" s="683"/>
      <c r="J479" s="682"/>
      <c r="K479" s="10" t="s">
        <v>1430</v>
      </c>
      <c r="L479" s="19" t="s">
        <v>756</v>
      </c>
      <c r="M479" s="214">
        <v>1992000</v>
      </c>
      <c r="N479" s="214">
        <v>2191200</v>
      </c>
      <c r="O479" s="266"/>
      <c r="P479" s="22">
        <v>44829</v>
      </c>
      <c r="Q479" s="266"/>
      <c r="R479" s="165">
        <v>0.5</v>
      </c>
      <c r="S479" s="761">
        <f>(M479-3000*24)*50%</f>
        <v>960000</v>
      </c>
      <c r="T479" s="758"/>
      <c r="U479" s="759">
        <f t="shared" si="40"/>
        <v>1190400</v>
      </c>
      <c r="V479" s="759">
        <f t="shared" si="57"/>
        <v>230400</v>
      </c>
      <c r="W479" s="772" t="s">
        <v>7208</v>
      </c>
    </row>
    <row r="480" spans="1:23" s="660" customFormat="1" ht="63" x14ac:dyDescent="0.25">
      <c r="A480" s="651">
        <v>470</v>
      </c>
      <c r="B480" s="652">
        <v>44099</v>
      </c>
      <c r="C480" s="334" t="s">
        <v>6733</v>
      </c>
      <c r="D480" s="334" t="s">
        <v>3622</v>
      </c>
      <c r="E480" s="334"/>
      <c r="F480" s="653" t="s">
        <v>6736</v>
      </c>
      <c r="G480" s="654" t="s">
        <v>6737</v>
      </c>
      <c r="H480" s="653"/>
      <c r="I480" s="651"/>
      <c r="J480" s="655"/>
      <c r="K480" s="655" t="s">
        <v>1430</v>
      </c>
      <c r="L480" s="651" t="s">
        <v>572</v>
      </c>
      <c r="M480" s="670">
        <v>2643000</v>
      </c>
      <c r="N480" s="670">
        <v>2907300</v>
      </c>
      <c r="O480" s="651"/>
      <c r="P480" s="652">
        <v>45158</v>
      </c>
      <c r="Q480" s="651"/>
      <c r="R480" s="657">
        <v>0.4</v>
      </c>
      <c r="S480" s="656">
        <f>(M480-3000*36)*40%</f>
        <v>1014000</v>
      </c>
      <c r="T480" s="658"/>
      <c r="U480" s="659">
        <f t="shared" si="40"/>
        <v>1594020</v>
      </c>
      <c r="V480" s="659">
        <f t="shared" si="57"/>
        <v>580020</v>
      </c>
      <c r="W480" s="651"/>
    </row>
    <row r="481" spans="1:23" s="760" customFormat="1" ht="47.25" x14ac:dyDescent="0.25">
      <c r="A481" s="683">
        <v>471</v>
      </c>
      <c r="B481" s="685">
        <v>44100</v>
      </c>
      <c r="C481" s="233" t="s">
        <v>6738</v>
      </c>
      <c r="D481" s="233" t="s">
        <v>562</v>
      </c>
      <c r="E481" s="233" t="s">
        <v>3479</v>
      </c>
      <c r="F481" s="757" t="s">
        <v>6740</v>
      </c>
      <c r="G481" s="234" t="s">
        <v>6739</v>
      </c>
      <c r="H481" s="757" t="s">
        <v>6741</v>
      </c>
      <c r="I481" s="683"/>
      <c r="J481" s="682"/>
      <c r="K481" s="682" t="s">
        <v>1430</v>
      </c>
      <c r="L481" s="683" t="s">
        <v>572</v>
      </c>
      <c r="M481" s="684">
        <v>2643000</v>
      </c>
      <c r="N481" s="684">
        <v>2907300</v>
      </c>
      <c r="O481" s="683"/>
      <c r="P481" s="685">
        <v>45158</v>
      </c>
      <c r="Q481" s="683"/>
      <c r="R481" s="770">
        <v>0.4</v>
      </c>
      <c r="S481" s="761">
        <f>(M481-3000*36)*40%</f>
        <v>1014000</v>
      </c>
      <c r="T481" s="758" t="s">
        <v>4607</v>
      </c>
      <c r="U481" s="759">
        <f t="shared" si="40"/>
        <v>1594020</v>
      </c>
      <c r="V481" s="759">
        <f t="shared" si="57"/>
        <v>580020</v>
      </c>
      <c r="W481" s="683" t="s">
        <v>7030</v>
      </c>
    </row>
    <row r="482" spans="1:23" s="760" customFormat="1" ht="47.25" x14ac:dyDescent="0.25">
      <c r="A482" s="683">
        <v>472</v>
      </c>
      <c r="B482" s="685">
        <v>44102</v>
      </c>
      <c r="C482" s="233" t="s">
        <v>6756</v>
      </c>
      <c r="D482" s="233" t="s">
        <v>3622</v>
      </c>
      <c r="E482" s="233"/>
      <c r="F482" s="757" t="s">
        <v>6757</v>
      </c>
      <c r="G482" s="234" t="s">
        <v>6758</v>
      </c>
      <c r="H482" s="757"/>
      <c r="I482" s="683"/>
      <c r="J482" s="682"/>
      <c r="K482" s="682" t="s">
        <v>1430</v>
      </c>
      <c r="L482" s="683" t="s">
        <v>572</v>
      </c>
      <c r="M482" s="684">
        <v>2643000</v>
      </c>
      <c r="N482" s="684">
        <v>2907300</v>
      </c>
      <c r="O482" s="683"/>
      <c r="P482" s="685">
        <v>45158</v>
      </c>
      <c r="Q482" s="683"/>
      <c r="R482" s="770">
        <v>0.4</v>
      </c>
      <c r="S482" s="761">
        <f>(M482-3000*36)*40%</f>
        <v>1014000</v>
      </c>
      <c r="T482" s="758" t="s">
        <v>7028</v>
      </c>
      <c r="U482" s="759">
        <f t="shared" si="40"/>
        <v>1594020</v>
      </c>
      <c r="V482" s="759">
        <f t="shared" si="57"/>
        <v>580020</v>
      </c>
      <c r="W482" s="683"/>
    </row>
    <row r="483" spans="1:23" s="760" customFormat="1" ht="31.5" x14ac:dyDescent="0.25">
      <c r="A483" s="683">
        <v>473</v>
      </c>
      <c r="B483" s="685">
        <v>44102</v>
      </c>
      <c r="C483" s="233" t="s">
        <v>6759</v>
      </c>
      <c r="D483" s="233" t="s">
        <v>4618</v>
      </c>
      <c r="E483" s="233" t="s">
        <v>3479</v>
      </c>
      <c r="F483" s="757" t="s">
        <v>6760</v>
      </c>
      <c r="G483" s="234" t="s">
        <v>6761</v>
      </c>
      <c r="H483" s="757"/>
      <c r="I483" s="683"/>
      <c r="J483" s="682"/>
      <c r="K483" s="682" t="s">
        <v>1430</v>
      </c>
      <c r="L483" s="683" t="s">
        <v>572</v>
      </c>
      <c r="M483" s="684">
        <v>2643000</v>
      </c>
      <c r="N483" s="684">
        <v>2907300</v>
      </c>
      <c r="O483" s="651"/>
      <c r="P483" s="685">
        <v>45158</v>
      </c>
      <c r="Q483" s="651"/>
      <c r="R483" s="770">
        <v>0.4</v>
      </c>
      <c r="S483" s="761">
        <f>M483*40%</f>
        <v>1057200</v>
      </c>
      <c r="T483" s="758"/>
      <c r="U483" s="759">
        <f t="shared" si="40"/>
        <v>1594020</v>
      </c>
      <c r="V483" s="759">
        <f t="shared" si="57"/>
        <v>536820</v>
      </c>
      <c r="W483" s="683"/>
    </row>
    <row r="484" spans="1:23" s="660" customFormat="1" ht="47.25" x14ac:dyDescent="0.25">
      <c r="A484" s="651">
        <v>474</v>
      </c>
      <c r="B484" s="652">
        <v>44102</v>
      </c>
      <c r="C484" s="334" t="s">
        <v>6762</v>
      </c>
      <c r="D484" s="334" t="s">
        <v>562</v>
      </c>
      <c r="E484" s="334"/>
      <c r="F484" s="653" t="s">
        <v>6763</v>
      </c>
      <c r="G484" s="654" t="s">
        <v>6764</v>
      </c>
      <c r="H484" s="653" t="s">
        <v>6765</v>
      </c>
      <c r="I484" s="651"/>
      <c r="J484" s="655"/>
      <c r="K484" s="269" t="s">
        <v>1430</v>
      </c>
      <c r="L484" s="266" t="s">
        <v>756</v>
      </c>
      <c r="M484" s="273">
        <v>1992000</v>
      </c>
      <c r="N484" s="273">
        <v>2191200</v>
      </c>
      <c r="O484" s="266"/>
      <c r="P484" s="373">
        <v>44829</v>
      </c>
      <c r="Q484" s="266"/>
      <c r="R484" s="271">
        <v>0.4</v>
      </c>
      <c r="S484" s="656">
        <f>(M484-3000*24)*40%</f>
        <v>768000</v>
      </c>
      <c r="T484" s="658">
        <v>191200</v>
      </c>
      <c r="U484" s="659">
        <f t="shared" si="40"/>
        <v>1190400</v>
      </c>
      <c r="V484" s="659">
        <f t="shared" si="57"/>
        <v>422400</v>
      </c>
      <c r="W484" s="651"/>
    </row>
    <row r="485" spans="1:23" s="660" customFormat="1" ht="47.25" x14ac:dyDescent="0.25">
      <c r="A485" s="651">
        <v>475</v>
      </c>
      <c r="B485" s="652">
        <v>44102</v>
      </c>
      <c r="C485" s="334" t="s">
        <v>6766</v>
      </c>
      <c r="D485" s="334" t="s">
        <v>954</v>
      </c>
      <c r="E485" s="334" t="s">
        <v>4753</v>
      </c>
      <c r="F485" s="653" t="s">
        <v>6767</v>
      </c>
      <c r="G485" s="654" t="s">
        <v>6768</v>
      </c>
      <c r="H485" s="653"/>
      <c r="I485" s="651"/>
      <c r="J485" s="655"/>
      <c r="K485" s="269" t="s">
        <v>83</v>
      </c>
      <c r="L485" s="266" t="s">
        <v>572</v>
      </c>
      <c r="M485" s="273">
        <v>2828000</v>
      </c>
      <c r="N485" s="273">
        <v>3110800</v>
      </c>
      <c r="O485" s="274"/>
      <c r="P485" s="476">
        <v>45163</v>
      </c>
      <c r="Q485" s="266"/>
      <c r="R485" s="271">
        <v>0.4</v>
      </c>
      <c r="S485" s="656">
        <f>(M485-3000*36)*40%</f>
        <v>1088000</v>
      </c>
      <c r="T485" s="658"/>
      <c r="U485" s="659">
        <f t="shared" si="40"/>
        <v>1708720</v>
      </c>
      <c r="V485" s="659">
        <f t="shared" si="57"/>
        <v>620720</v>
      </c>
      <c r="W485" s="651"/>
    </row>
    <row r="486" spans="1:23" s="760" customFormat="1" ht="31.5" x14ac:dyDescent="0.25">
      <c r="A486" s="683">
        <v>476</v>
      </c>
      <c r="B486" s="685">
        <v>44102</v>
      </c>
      <c r="C486" s="233" t="s">
        <v>6769</v>
      </c>
      <c r="D486" s="233" t="s">
        <v>562</v>
      </c>
      <c r="E486" s="233"/>
      <c r="F486" s="757" t="s">
        <v>6771</v>
      </c>
      <c r="G486" s="234" t="s">
        <v>6770</v>
      </c>
      <c r="H486" s="757" t="s">
        <v>6772</v>
      </c>
      <c r="I486" s="787" t="s">
        <v>6773</v>
      </c>
      <c r="J486" s="682"/>
      <c r="K486" s="682" t="s">
        <v>1430</v>
      </c>
      <c r="L486" s="683" t="s">
        <v>572</v>
      </c>
      <c r="M486" s="684">
        <v>2643000</v>
      </c>
      <c r="N486" s="684">
        <v>2907300</v>
      </c>
      <c r="O486" s="683"/>
      <c r="P486" s="685">
        <v>45158</v>
      </c>
      <c r="Q486" s="683"/>
      <c r="R486" s="770">
        <v>0.4</v>
      </c>
      <c r="S486" s="761">
        <f>(M486-3000*36)*40%</f>
        <v>1014000</v>
      </c>
      <c r="T486" s="758">
        <v>507300</v>
      </c>
      <c r="U486" s="759">
        <f t="shared" ref="U486:U551" si="58">(M486-3000*24)*0.62</f>
        <v>1594020</v>
      </c>
      <c r="V486" s="759">
        <f t="shared" si="57"/>
        <v>580020</v>
      </c>
      <c r="W486" s="683" t="s">
        <v>7119</v>
      </c>
    </row>
    <row r="487" spans="1:23" s="760" customFormat="1" ht="47.25" x14ac:dyDescent="0.25">
      <c r="A487" s="683">
        <v>477</v>
      </c>
      <c r="B487" s="685">
        <v>44102</v>
      </c>
      <c r="C487" s="233" t="s">
        <v>6774</v>
      </c>
      <c r="D487" s="233"/>
      <c r="E487" s="233" t="s">
        <v>3479</v>
      </c>
      <c r="F487" s="757" t="s">
        <v>6775</v>
      </c>
      <c r="G487" s="234" t="s">
        <v>6776</v>
      </c>
      <c r="H487" s="773" t="s">
        <v>6777</v>
      </c>
      <c r="I487" s="683"/>
      <c r="J487" s="682"/>
      <c r="K487" s="682" t="s">
        <v>1430</v>
      </c>
      <c r="L487" s="683" t="s">
        <v>572</v>
      </c>
      <c r="M487" s="684">
        <v>2643000</v>
      </c>
      <c r="N487" s="684">
        <v>2907300</v>
      </c>
      <c r="O487" s="683"/>
      <c r="P487" s="685">
        <v>45158</v>
      </c>
      <c r="Q487" s="683"/>
      <c r="R487" s="770">
        <v>0.4</v>
      </c>
      <c r="S487" s="761">
        <f>N487-2100000</f>
        <v>807300</v>
      </c>
      <c r="T487" s="758"/>
      <c r="U487" s="759">
        <f t="shared" si="58"/>
        <v>1594020</v>
      </c>
      <c r="V487" s="759">
        <f t="shared" si="57"/>
        <v>786720</v>
      </c>
      <c r="W487" s="683" t="s">
        <v>6902</v>
      </c>
    </row>
    <row r="488" spans="1:23" s="660" customFormat="1" ht="47.25" x14ac:dyDescent="0.25">
      <c r="A488" s="651">
        <v>478</v>
      </c>
      <c r="B488" s="652">
        <v>44102</v>
      </c>
      <c r="C488" s="334" t="s">
        <v>6766</v>
      </c>
      <c r="D488" s="334" t="s">
        <v>954</v>
      </c>
      <c r="E488" s="334" t="s">
        <v>4753</v>
      </c>
      <c r="F488" s="653" t="s">
        <v>6767</v>
      </c>
      <c r="G488" s="654" t="s">
        <v>6768</v>
      </c>
      <c r="H488" s="653"/>
      <c r="I488" s="651"/>
      <c r="J488" s="655"/>
      <c r="K488" s="269" t="s">
        <v>83</v>
      </c>
      <c r="L488" s="266" t="s">
        <v>572</v>
      </c>
      <c r="M488" s="273">
        <v>2828000</v>
      </c>
      <c r="N488" s="273">
        <v>3110800</v>
      </c>
      <c r="O488" s="651"/>
      <c r="P488" s="652">
        <v>44102</v>
      </c>
      <c r="Q488" s="651"/>
      <c r="R488" s="657">
        <v>0.4</v>
      </c>
      <c r="S488" s="656">
        <f>(M488-3000*36)*40%</f>
        <v>1088000</v>
      </c>
      <c r="T488" s="658"/>
      <c r="U488" s="659">
        <f t="shared" si="58"/>
        <v>1708720</v>
      </c>
      <c r="V488" s="659">
        <f t="shared" si="57"/>
        <v>620720</v>
      </c>
      <c r="W488" s="651"/>
    </row>
    <row r="489" spans="1:23" s="660" customFormat="1" ht="47.25" x14ac:dyDescent="0.25">
      <c r="A489" s="651">
        <v>479</v>
      </c>
      <c r="B489" s="652">
        <v>44103</v>
      </c>
      <c r="C489" s="334" t="s">
        <v>6318</v>
      </c>
      <c r="D489" s="334"/>
      <c r="E489" s="334"/>
      <c r="F489" s="653" t="s">
        <v>6320</v>
      </c>
      <c r="G489" s="654" t="s">
        <v>6319</v>
      </c>
      <c r="H489" s="763" t="s">
        <v>6321</v>
      </c>
      <c r="I489" s="651"/>
      <c r="J489" s="655"/>
      <c r="K489" s="269" t="s">
        <v>83</v>
      </c>
      <c r="L489" s="266" t="s">
        <v>572</v>
      </c>
      <c r="M489" s="273">
        <v>2828000</v>
      </c>
      <c r="N489" s="273">
        <v>3110800</v>
      </c>
      <c r="O489" s="651"/>
      <c r="P489" s="652">
        <v>44103</v>
      </c>
      <c r="Q489" s="651"/>
      <c r="R489" s="651"/>
      <c r="S489" s="656">
        <f>N489-2200000</f>
        <v>910800</v>
      </c>
      <c r="T489" s="658"/>
      <c r="U489" s="659">
        <f t="shared" si="58"/>
        <v>1708720</v>
      </c>
      <c r="V489" s="659">
        <f t="shared" si="57"/>
        <v>797920</v>
      </c>
      <c r="W489" s="651"/>
    </row>
    <row r="490" spans="1:23" s="660" customFormat="1" ht="47.25" x14ac:dyDescent="0.25">
      <c r="A490" s="651">
        <v>480</v>
      </c>
      <c r="B490" s="652">
        <v>44103</v>
      </c>
      <c r="C490" s="334" t="s">
        <v>6318</v>
      </c>
      <c r="D490" s="334"/>
      <c r="E490" s="334"/>
      <c r="F490" s="653" t="s">
        <v>6320</v>
      </c>
      <c r="G490" s="654" t="s">
        <v>6319</v>
      </c>
      <c r="H490" s="653" t="s">
        <v>6321</v>
      </c>
      <c r="I490" s="651"/>
      <c r="J490" s="655"/>
      <c r="K490" s="269" t="s">
        <v>83</v>
      </c>
      <c r="L490" s="266" t="s">
        <v>572</v>
      </c>
      <c r="M490" s="273">
        <v>2828000</v>
      </c>
      <c r="N490" s="273">
        <v>3110800</v>
      </c>
      <c r="O490" s="651"/>
      <c r="P490" s="652">
        <v>44103</v>
      </c>
      <c r="Q490" s="651"/>
      <c r="R490" s="651"/>
      <c r="S490" s="656">
        <f>N490-2200000</f>
        <v>910800</v>
      </c>
      <c r="T490" s="658"/>
      <c r="U490" s="659">
        <f t="shared" si="58"/>
        <v>1708720</v>
      </c>
      <c r="V490" s="659">
        <f t="shared" si="57"/>
        <v>797920</v>
      </c>
      <c r="W490" s="651"/>
    </row>
    <row r="491" spans="1:23" s="760" customFormat="1" ht="47.25" x14ac:dyDescent="0.25">
      <c r="A491" s="683">
        <v>481</v>
      </c>
      <c r="B491" s="685">
        <v>44104</v>
      </c>
      <c r="C491" s="233" t="s">
        <v>6778</v>
      </c>
      <c r="D491" s="233" t="s">
        <v>3622</v>
      </c>
      <c r="E491" s="233"/>
      <c r="F491" s="757" t="s">
        <v>6779</v>
      </c>
      <c r="G491" s="234" t="s">
        <v>6780</v>
      </c>
      <c r="H491" s="757" t="s">
        <v>6781</v>
      </c>
      <c r="I491" s="683"/>
      <c r="J491" s="682"/>
      <c r="K491" s="682" t="s">
        <v>1430</v>
      </c>
      <c r="L491" s="683" t="s">
        <v>572</v>
      </c>
      <c r="M491" s="684">
        <v>2643000</v>
      </c>
      <c r="N491" s="684">
        <v>2907300</v>
      </c>
      <c r="O491" s="683"/>
      <c r="P491" s="685">
        <v>45168</v>
      </c>
      <c r="Q491" s="683"/>
      <c r="R491" s="770">
        <v>0.4</v>
      </c>
      <c r="S491" s="761">
        <f>(M491-3000*36)*40%</f>
        <v>1014000</v>
      </c>
      <c r="T491" s="758">
        <v>507300</v>
      </c>
      <c r="U491" s="759">
        <f t="shared" si="58"/>
        <v>1594020</v>
      </c>
      <c r="V491" s="759">
        <f t="shared" si="57"/>
        <v>580020</v>
      </c>
      <c r="W491" s="683" t="s">
        <v>7022</v>
      </c>
    </row>
    <row r="492" spans="1:23" s="786" customFormat="1" ht="63" x14ac:dyDescent="0.25">
      <c r="A492" s="779">
        <v>482</v>
      </c>
      <c r="B492" s="780">
        <v>44104</v>
      </c>
      <c r="C492" s="781" t="s">
        <v>6783</v>
      </c>
      <c r="D492" s="781" t="s">
        <v>3622</v>
      </c>
      <c r="E492" s="781"/>
      <c r="F492" s="782" t="s">
        <v>6320</v>
      </c>
      <c r="G492" s="783" t="s">
        <v>6782</v>
      </c>
      <c r="H492" s="782" t="s">
        <v>6784</v>
      </c>
      <c r="I492" s="772"/>
      <c r="J492" s="771"/>
      <c r="K492" s="771" t="s">
        <v>83</v>
      </c>
      <c r="L492" s="772" t="s">
        <v>572</v>
      </c>
      <c r="M492" s="764">
        <v>2828000</v>
      </c>
      <c r="N492" s="764">
        <v>3110800</v>
      </c>
      <c r="O492" s="772"/>
      <c r="P492" s="778">
        <v>44103</v>
      </c>
      <c r="Q492" s="772"/>
      <c r="R492" s="776">
        <v>0.4</v>
      </c>
      <c r="S492" s="764">
        <f>(M492-3000*36)*40%</f>
        <v>1088000</v>
      </c>
      <c r="T492" s="784">
        <v>1110800</v>
      </c>
      <c r="U492" s="785">
        <f t="shared" si="58"/>
        <v>1708720</v>
      </c>
      <c r="V492" s="785">
        <f t="shared" si="57"/>
        <v>620720</v>
      </c>
      <c r="W492" s="772" t="s">
        <v>7023</v>
      </c>
    </row>
    <row r="493" spans="1:23" s="760" customFormat="1" ht="47.25" x14ac:dyDescent="0.25">
      <c r="A493" s="683">
        <v>483</v>
      </c>
      <c r="B493" s="685">
        <v>44104</v>
      </c>
      <c r="C493" s="233" t="s">
        <v>6785</v>
      </c>
      <c r="D493" s="233" t="s">
        <v>7209</v>
      </c>
      <c r="E493" s="233" t="s">
        <v>3622</v>
      </c>
      <c r="F493" s="757" t="s">
        <v>6787</v>
      </c>
      <c r="G493" s="234" t="s">
        <v>6786</v>
      </c>
      <c r="H493" s="757"/>
      <c r="I493" s="683"/>
      <c r="J493" s="682"/>
      <c r="K493" s="687" t="s">
        <v>1430</v>
      </c>
      <c r="L493" s="686" t="s">
        <v>572</v>
      </c>
      <c r="M493" s="688">
        <v>2643000</v>
      </c>
      <c r="N493" s="688">
        <v>2907300</v>
      </c>
      <c r="O493" s="689">
        <v>45158</v>
      </c>
      <c r="P493" s="692">
        <v>0.4</v>
      </c>
      <c r="Q493" s="168"/>
      <c r="R493" s="707">
        <v>0.4</v>
      </c>
      <c r="S493" s="214">
        <f>(M493-3000*12)*40%</f>
        <v>1042800</v>
      </c>
      <c r="T493" s="758"/>
      <c r="U493" s="759">
        <f t="shared" si="58"/>
        <v>1594020</v>
      </c>
      <c r="V493" s="759">
        <f t="shared" si="57"/>
        <v>551220</v>
      </c>
      <c r="W493" s="683" t="s">
        <v>7029</v>
      </c>
    </row>
    <row r="494" spans="1:23" s="760" customFormat="1" ht="31.5" x14ac:dyDescent="0.25">
      <c r="A494" s="683">
        <v>484</v>
      </c>
      <c r="B494" s="685">
        <v>44104</v>
      </c>
      <c r="C494" s="233" t="s">
        <v>6788</v>
      </c>
      <c r="D494" s="233" t="s">
        <v>4618</v>
      </c>
      <c r="E494" s="233" t="s">
        <v>3479</v>
      </c>
      <c r="F494" s="757" t="s">
        <v>6789</v>
      </c>
      <c r="G494" s="234" t="s">
        <v>6790</v>
      </c>
      <c r="H494" s="757"/>
      <c r="I494" s="683"/>
      <c r="J494" s="682"/>
      <c r="K494" s="682" t="s">
        <v>1430</v>
      </c>
      <c r="L494" s="683" t="s">
        <v>572</v>
      </c>
      <c r="M494" s="684">
        <v>2643000</v>
      </c>
      <c r="N494" s="684">
        <v>2907300</v>
      </c>
      <c r="O494" s="651"/>
      <c r="P494" s="685">
        <v>45168</v>
      </c>
      <c r="Q494" s="651"/>
      <c r="R494" s="770">
        <v>0.4</v>
      </c>
      <c r="S494" s="761">
        <f>M494*40%</f>
        <v>1057200</v>
      </c>
      <c r="T494" s="758"/>
      <c r="U494" s="759">
        <f t="shared" si="58"/>
        <v>1594020</v>
      </c>
      <c r="V494" s="759">
        <f t="shared" si="57"/>
        <v>536820</v>
      </c>
      <c r="W494" s="683"/>
    </row>
    <row r="495" spans="1:23" s="760" customFormat="1" ht="47.25" x14ac:dyDescent="0.25">
      <c r="A495" s="683">
        <v>485</v>
      </c>
      <c r="B495" s="685">
        <v>44104</v>
      </c>
      <c r="C495" s="233" t="s">
        <v>6791</v>
      </c>
      <c r="D495" s="233"/>
      <c r="E495" s="233" t="s">
        <v>309</v>
      </c>
      <c r="F495" s="757" t="s">
        <v>4563</v>
      </c>
      <c r="G495" s="234" t="s">
        <v>4562</v>
      </c>
      <c r="H495" s="757"/>
      <c r="I495" s="683"/>
      <c r="J495" s="682"/>
      <c r="K495" s="771" t="s">
        <v>83</v>
      </c>
      <c r="L495" s="772" t="s">
        <v>572</v>
      </c>
      <c r="M495" s="764">
        <v>2828000</v>
      </c>
      <c r="N495" s="764">
        <v>3110800</v>
      </c>
      <c r="O495" s="772"/>
      <c r="P495" s="778">
        <v>44103</v>
      </c>
      <c r="Q495" s="772"/>
      <c r="R495" s="776">
        <v>0.4</v>
      </c>
      <c r="S495" s="764">
        <f>(M495-3000*36)*40%</f>
        <v>1088000</v>
      </c>
      <c r="T495" s="758"/>
      <c r="U495" s="759">
        <f t="shared" si="58"/>
        <v>1708720</v>
      </c>
      <c r="V495" s="759">
        <f t="shared" si="57"/>
        <v>620720</v>
      </c>
      <c r="W495" s="683" t="s">
        <v>1037</v>
      </c>
    </row>
    <row r="496" spans="1:23" s="760" customFormat="1" ht="33" customHeight="1" x14ac:dyDescent="0.25">
      <c r="A496" s="683">
        <v>486</v>
      </c>
      <c r="B496" s="685">
        <v>44104</v>
      </c>
      <c r="C496" s="233" t="s">
        <v>6792</v>
      </c>
      <c r="D496" s="233" t="s">
        <v>4618</v>
      </c>
      <c r="E496" s="233" t="s">
        <v>3479</v>
      </c>
      <c r="F496" s="757" t="s">
        <v>6794</v>
      </c>
      <c r="G496" s="234" t="s">
        <v>6793</v>
      </c>
      <c r="H496" s="757"/>
      <c r="I496" s="683"/>
      <c r="J496" s="682"/>
      <c r="K496" s="682" t="s">
        <v>1430</v>
      </c>
      <c r="L496" s="683" t="s">
        <v>572</v>
      </c>
      <c r="M496" s="684">
        <v>2643000</v>
      </c>
      <c r="N496" s="684">
        <v>2907300</v>
      </c>
      <c r="O496" s="651"/>
      <c r="P496" s="685">
        <v>45168</v>
      </c>
      <c r="Q496" s="651"/>
      <c r="R496" s="770">
        <v>0.4</v>
      </c>
      <c r="S496" s="761">
        <f>(M496-3000*36)*40%</f>
        <v>1014000</v>
      </c>
      <c r="T496" s="758"/>
      <c r="U496" s="759">
        <f t="shared" si="58"/>
        <v>1594020</v>
      </c>
      <c r="V496" s="759">
        <f t="shared" si="57"/>
        <v>580020</v>
      </c>
      <c r="W496" s="683"/>
    </row>
    <row r="497" spans="1:23" s="660" customFormat="1" ht="47.25" x14ac:dyDescent="0.25">
      <c r="A497" s="651">
        <v>487</v>
      </c>
      <c r="B497" s="652">
        <v>44104</v>
      </c>
      <c r="C497" s="334" t="s">
        <v>1866</v>
      </c>
      <c r="D497" s="334"/>
      <c r="E497" s="334" t="s">
        <v>3479</v>
      </c>
      <c r="F497" s="653" t="s">
        <v>1867</v>
      </c>
      <c r="G497" s="654" t="s">
        <v>6795</v>
      </c>
      <c r="H497" s="335" t="s">
        <v>1890</v>
      </c>
      <c r="I497" s="622" t="s">
        <v>1869</v>
      </c>
      <c r="J497" s="655"/>
      <c r="K497" s="687" t="s">
        <v>94</v>
      </c>
      <c r="L497" s="686" t="s">
        <v>777</v>
      </c>
      <c r="M497" s="690">
        <v>1061000</v>
      </c>
      <c r="N497" s="690">
        <v>1277100</v>
      </c>
      <c r="O497" s="686"/>
      <c r="P497" s="689">
        <v>44469</v>
      </c>
      <c r="Q497" s="686"/>
      <c r="R497" s="692">
        <v>0.4</v>
      </c>
      <c r="S497" s="273">
        <f>(M497-3000*12)*10%</f>
        <v>102500</v>
      </c>
      <c r="T497" s="658"/>
      <c r="U497" s="659">
        <f t="shared" si="58"/>
        <v>613180</v>
      </c>
      <c r="V497" s="659">
        <f t="shared" si="57"/>
        <v>510680</v>
      </c>
      <c r="W497" s="651"/>
    </row>
    <row r="498" spans="1:23" s="769" customFormat="1" ht="63" x14ac:dyDescent="0.25">
      <c r="A498" s="659">
        <v>488</v>
      </c>
      <c r="B498" s="661">
        <v>44105</v>
      </c>
      <c r="C498" s="648" t="s">
        <v>6796</v>
      </c>
      <c r="D498" s="648" t="s">
        <v>562</v>
      </c>
      <c r="E498" s="648" t="s">
        <v>3622</v>
      </c>
      <c r="F498" s="765" t="s">
        <v>6797</v>
      </c>
      <c r="G498" s="648" t="s">
        <v>6798</v>
      </c>
      <c r="H498" s="765" t="s">
        <v>6799</v>
      </c>
      <c r="I498" s="659"/>
      <c r="J498" s="659"/>
      <c r="K498" s="691" t="s">
        <v>94</v>
      </c>
      <c r="L498" s="691" t="s">
        <v>777</v>
      </c>
      <c r="M498" s="690">
        <v>1061000</v>
      </c>
      <c r="N498" s="690">
        <v>1277100</v>
      </c>
      <c r="O498" s="691"/>
      <c r="P498" s="766">
        <v>44469</v>
      </c>
      <c r="Q498" s="691"/>
      <c r="R498" s="767">
        <v>0.4</v>
      </c>
      <c r="S498" s="273">
        <f>(M498-3000*12)*40%</f>
        <v>410000</v>
      </c>
      <c r="T498" s="768" t="s">
        <v>6627</v>
      </c>
      <c r="U498" s="659">
        <f t="shared" si="58"/>
        <v>613180</v>
      </c>
      <c r="V498" s="659">
        <f t="shared" si="57"/>
        <v>203180</v>
      </c>
      <c r="W498" s="659" t="s">
        <v>7024</v>
      </c>
    </row>
    <row r="499" spans="1:23" s="660" customFormat="1" ht="47.25" x14ac:dyDescent="0.25">
      <c r="A499" s="651">
        <v>489</v>
      </c>
      <c r="B499" s="652">
        <v>44105</v>
      </c>
      <c r="C499" s="334" t="s">
        <v>6800</v>
      </c>
      <c r="D499" s="334" t="s">
        <v>1686</v>
      </c>
      <c r="E499" s="334"/>
      <c r="F499" s="653" t="s">
        <v>6801</v>
      </c>
      <c r="G499" s="654" t="s">
        <v>6802</v>
      </c>
      <c r="H499" s="653"/>
      <c r="I499" s="651"/>
      <c r="J499" s="655"/>
      <c r="K499" s="269" t="s">
        <v>1430</v>
      </c>
      <c r="L499" s="266" t="s">
        <v>756</v>
      </c>
      <c r="M499" s="273">
        <v>1992000</v>
      </c>
      <c r="N499" s="273">
        <v>2191200</v>
      </c>
      <c r="O499" s="266"/>
      <c r="P499" s="373">
        <v>44835</v>
      </c>
      <c r="Q499" s="266"/>
      <c r="R499" s="271">
        <v>0.47</v>
      </c>
      <c r="S499" s="273">
        <f>(M499-3000*24)*47%</f>
        <v>902400</v>
      </c>
      <c r="T499" s="658"/>
      <c r="U499" s="659">
        <f t="shared" si="58"/>
        <v>1190400</v>
      </c>
      <c r="V499" s="659">
        <f t="shared" si="57"/>
        <v>288000</v>
      </c>
      <c r="W499" s="651"/>
    </row>
    <row r="500" spans="1:23" s="760" customFormat="1" ht="47.25" x14ac:dyDescent="0.25">
      <c r="A500" s="683">
        <v>490</v>
      </c>
      <c r="B500" s="685">
        <v>44105</v>
      </c>
      <c r="C500" s="233" t="s">
        <v>6803</v>
      </c>
      <c r="D500" s="233" t="s">
        <v>3622</v>
      </c>
      <c r="E500" s="233"/>
      <c r="F500" s="757" t="s">
        <v>6805</v>
      </c>
      <c r="G500" s="234" t="s">
        <v>6804</v>
      </c>
      <c r="H500" s="757"/>
      <c r="I500" s="683"/>
      <c r="J500" s="682"/>
      <c r="K500" s="10" t="s">
        <v>1430</v>
      </c>
      <c r="L500" s="19" t="s">
        <v>756</v>
      </c>
      <c r="M500" s="214">
        <v>1992000</v>
      </c>
      <c r="N500" s="214">
        <v>2191200</v>
      </c>
      <c r="O500" s="19"/>
      <c r="P500" s="22">
        <v>44835</v>
      </c>
      <c r="Q500" s="683"/>
      <c r="R500" s="707">
        <v>0.4</v>
      </c>
      <c r="S500" s="214">
        <f>(M500-3000*12)*40%</f>
        <v>782400</v>
      </c>
      <c r="T500" s="758"/>
      <c r="U500" s="759">
        <f t="shared" si="58"/>
        <v>1190400</v>
      </c>
      <c r="V500" s="759">
        <f t="shared" si="57"/>
        <v>408000</v>
      </c>
      <c r="W500" s="683" t="s">
        <v>7026</v>
      </c>
    </row>
    <row r="501" spans="1:23" s="660" customFormat="1" ht="63" x14ac:dyDescent="0.25">
      <c r="A501" s="651">
        <v>491</v>
      </c>
      <c r="B501" s="652">
        <v>44106</v>
      </c>
      <c r="C501" s="334" t="s">
        <v>6806</v>
      </c>
      <c r="D501" s="334" t="s">
        <v>562</v>
      </c>
      <c r="E501" s="334" t="s">
        <v>3479</v>
      </c>
      <c r="F501" s="653" t="s">
        <v>6807</v>
      </c>
      <c r="G501" s="654" t="s">
        <v>6808</v>
      </c>
      <c r="H501" s="653" t="s">
        <v>6809</v>
      </c>
      <c r="I501" s="651"/>
      <c r="J501" s="655"/>
      <c r="K501" s="655" t="s">
        <v>1430</v>
      </c>
      <c r="L501" s="651" t="s">
        <v>572</v>
      </c>
      <c r="M501" s="670">
        <v>2643000</v>
      </c>
      <c r="N501" s="670">
        <v>2907300</v>
      </c>
      <c r="O501" s="651"/>
      <c r="P501" s="652">
        <v>45168</v>
      </c>
      <c r="Q501" s="651"/>
      <c r="R501" s="657">
        <v>0.4</v>
      </c>
      <c r="S501" s="656">
        <f t="shared" ref="S501:S507" si="59">(M501-3000*36)*40%</f>
        <v>1014000</v>
      </c>
      <c r="T501" s="658">
        <v>507300</v>
      </c>
      <c r="U501" s="659">
        <f t="shared" si="58"/>
        <v>1594020</v>
      </c>
      <c r="V501" s="659">
        <f t="shared" si="57"/>
        <v>580020</v>
      </c>
      <c r="W501" s="651"/>
    </row>
    <row r="502" spans="1:23" s="660" customFormat="1" ht="47.25" x14ac:dyDescent="0.25">
      <c r="A502" s="651">
        <v>492</v>
      </c>
      <c r="B502" s="652">
        <v>44106</v>
      </c>
      <c r="C502" s="334" t="s">
        <v>6810</v>
      </c>
      <c r="D502" s="334" t="s">
        <v>562</v>
      </c>
      <c r="E502" s="334" t="s">
        <v>3479</v>
      </c>
      <c r="F502" s="653" t="s">
        <v>6811</v>
      </c>
      <c r="G502" s="654" t="s">
        <v>6812</v>
      </c>
      <c r="H502" s="653" t="s">
        <v>6813</v>
      </c>
      <c r="I502" s="651"/>
      <c r="J502" s="655"/>
      <c r="K502" s="655" t="s">
        <v>1430</v>
      </c>
      <c r="L502" s="651" t="s">
        <v>572</v>
      </c>
      <c r="M502" s="670">
        <v>2643000</v>
      </c>
      <c r="N502" s="670">
        <v>2907300</v>
      </c>
      <c r="O502" s="651"/>
      <c r="P502" s="652">
        <v>45168</v>
      </c>
      <c r="Q502" s="651"/>
      <c r="R502" s="657">
        <v>0.4</v>
      </c>
      <c r="S502" s="656">
        <f t="shared" si="59"/>
        <v>1014000</v>
      </c>
      <c r="T502" s="658">
        <v>507300</v>
      </c>
      <c r="U502" s="659">
        <f t="shared" si="58"/>
        <v>1594020</v>
      </c>
      <c r="V502" s="659">
        <f t="shared" si="57"/>
        <v>580020</v>
      </c>
      <c r="W502" s="651"/>
    </row>
    <row r="503" spans="1:23" s="660" customFormat="1" ht="47.25" x14ac:dyDescent="0.25">
      <c r="A503" s="651">
        <v>493</v>
      </c>
      <c r="B503" s="652">
        <v>44106</v>
      </c>
      <c r="C503" s="334" t="s">
        <v>3185</v>
      </c>
      <c r="D503" s="334"/>
      <c r="E503" s="334" t="s">
        <v>309</v>
      </c>
      <c r="F503" s="653" t="s">
        <v>3186</v>
      </c>
      <c r="G503" s="654" t="s">
        <v>3187</v>
      </c>
      <c r="H503" s="653"/>
      <c r="I503" s="651"/>
      <c r="J503" s="655"/>
      <c r="K503" s="669" t="s">
        <v>83</v>
      </c>
      <c r="L503" s="662" t="s">
        <v>572</v>
      </c>
      <c r="M503" s="663">
        <v>2828000</v>
      </c>
      <c r="N503" s="663">
        <v>3110800</v>
      </c>
      <c r="O503" s="662"/>
      <c r="P503" s="665">
        <v>45198</v>
      </c>
      <c r="Q503" s="662"/>
      <c r="R503" s="673">
        <v>0.4</v>
      </c>
      <c r="S503" s="663">
        <f t="shared" si="59"/>
        <v>1088000</v>
      </c>
      <c r="T503" s="658"/>
      <c r="U503" s="659">
        <f t="shared" si="58"/>
        <v>1708720</v>
      </c>
      <c r="V503" s="659">
        <f t="shared" si="57"/>
        <v>620720</v>
      </c>
      <c r="W503" s="651"/>
    </row>
    <row r="504" spans="1:23" s="660" customFormat="1" ht="47.25" x14ac:dyDescent="0.25">
      <c r="A504" s="651">
        <v>494</v>
      </c>
      <c r="B504" s="652">
        <v>44106</v>
      </c>
      <c r="C504" s="334" t="s">
        <v>6814</v>
      </c>
      <c r="D504" s="334" t="s">
        <v>457</v>
      </c>
      <c r="E504" s="334"/>
      <c r="F504" s="653" t="s">
        <v>6816</v>
      </c>
      <c r="G504" s="654" t="s">
        <v>6815</v>
      </c>
      <c r="H504" s="653"/>
      <c r="I504" s="651"/>
      <c r="J504" s="655"/>
      <c r="K504" s="655" t="s">
        <v>1430</v>
      </c>
      <c r="L504" s="651" t="s">
        <v>572</v>
      </c>
      <c r="M504" s="670">
        <v>2643000</v>
      </c>
      <c r="N504" s="670">
        <v>2907300</v>
      </c>
      <c r="O504" s="651"/>
      <c r="P504" s="652">
        <v>45201</v>
      </c>
      <c r="Q504" s="651"/>
      <c r="R504" s="657">
        <v>0.4</v>
      </c>
      <c r="S504" s="656">
        <f t="shared" si="59"/>
        <v>1014000</v>
      </c>
      <c r="T504" s="658"/>
      <c r="U504" s="659">
        <f t="shared" si="58"/>
        <v>1594020</v>
      </c>
      <c r="V504" s="659">
        <f t="shared" si="57"/>
        <v>580020</v>
      </c>
      <c r="W504" s="651"/>
    </row>
    <row r="505" spans="1:23" s="760" customFormat="1" ht="31.5" x14ac:dyDescent="0.25">
      <c r="A505" s="683">
        <v>495</v>
      </c>
      <c r="B505" s="685">
        <v>44106</v>
      </c>
      <c r="C505" s="233" t="s">
        <v>6817</v>
      </c>
      <c r="D505" s="233" t="s">
        <v>562</v>
      </c>
      <c r="E505" s="233" t="s">
        <v>3622</v>
      </c>
      <c r="F505" s="757" t="s">
        <v>6818</v>
      </c>
      <c r="G505" s="234" t="s">
        <v>6819</v>
      </c>
      <c r="H505" s="757" t="s">
        <v>6820</v>
      </c>
      <c r="I505" s="683"/>
      <c r="J505" s="682" t="s">
        <v>6821</v>
      </c>
      <c r="K505" s="682" t="s">
        <v>1430</v>
      </c>
      <c r="L505" s="683" t="s">
        <v>572</v>
      </c>
      <c r="M505" s="684">
        <v>2643000</v>
      </c>
      <c r="N505" s="684">
        <v>2907300</v>
      </c>
      <c r="O505" s="683"/>
      <c r="P505" s="685">
        <v>45201</v>
      </c>
      <c r="Q505" s="683"/>
      <c r="R505" s="770">
        <v>0.4</v>
      </c>
      <c r="S505" s="761">
        <f t="shared" ref="S505" si="60">(M505-3000*36)*40%</f>
        <v>1014000</v>
      </c>
      <c r="T505" s="758"/>
      <c r="U505" s="759">
        <f t="shared" si="58"/>
        <v>1594020</v>
      </c>
      <c r="V505" s="759">
        <f t="shared" si="57"/>
        <v>580020</v>
      </c>
      <c r="W505" s="683" t="s">
        <v>7025</v>
      </c>
    </row>
    <row r="506" spans="1:23" s="660" customFormat="1" ht="31.5" x14ac:dyDescent="0.25">
      <c r="A506" s="651">
        <v>496</v>
      </c>
      <c r="B506" s="652">
        <v>44106</v>
      </c>
      <c r="C506" s="334" t="s">
        <v>6822</v>
      </c>
      <c r="D506" s="334" t="s">
        <v>3622</v>
      </c>
      <c r="E506" s="334"/>
      <c r="F506" s="653" t="s">
        <v>6823</v>
      </c>
      <c r="G506" s="654" t="s">
        <v>6824</v>
      </c>
      <c r="H506" s="653"/>
      <c r="I506" s="651"/>
      <c r="J506" s="655"/>
      <c r="K506" s="655" t="s">
        <v>180</v>
      </c>
      <c r="L506" s="651" t="s">
        <v>777</v>
      </c>
      <c r="M506" s="656">
        <v>1161000</v>
      </c>
      <c r="N506" s="656">
        <v>1827100</v>
      </c>
      <c r="O506" s="651"/>
      <c r="P506" s="652">
        <v>44471</v>
      </c>
      <c r="Q506" s="651"/>
      <c r="R506" s="657">
        <v>0.4</v>
      </c>
      <c r="S506" s="663">
        <f t="shared" si="59"/>
        <v>421200</v>
      </c>
      <c r="T506" s="658"/>
      <c r="U506" s="659">
        <f t="shared" si="58"/>
        <v>675180</v>
      </c>
      <c r="V506" s="659">
        <f t="shared" si="57"/>
        <v>253980</v>
      </c>
      <c r="W506" s="651"/>
    </row>
    <row r="507" spans="1:23" s="660" customFormat="1" ht="47.25" x14ac:dyDescent="0.25">
      <c r="A507" s="651">
        <v>497</v>
      </c>
      <c r="B507" s="652">
        <v>44106</v>
      </c>
      <c r="C507" s="334" t="s">
        <v>1010</v>
      </c>
      <c r="D507" s="334" t="s">
        <v>457</v>
      </c>
      <c r="E507" s="334" t="s">
        <v>5768</v>
      </c>
      <c r="F507" s="653" t="s">
        <v>1011</v>
      </c>
      <c r="G507" s="654" t="s">
        <v>3950</v>
      </c>
      <c r="H507" s="653"/>
      <c r="I507" s="651"/>
      <c r="J507" s="655"/>
      <c r="K507" s="669" t="s">
        <v>83</v>
      </c>
      <c r="L507" s="662" t="s">
        <v>572</v>
      </c>
      <c r="M507" s="663">
        <v>2828000</v>
      </c>
      <c r="N507" s="663">
        <v>3110800</v>
      </c>
      <c r="O507" s="662"/>
      <c r="P507" s="652">
        <v>45201</v>
      </c>
      <c r="Q507" s="662"/>
      <c r="R507" s="673">
        <v>0.4</v>
      </c>
      <c r="S507" s="663">
        <f t="shared" si="59"/>
        <v>1088000</v>
      </c>
      <c r="T507" s="658"/>
      <c r="U507" s="659">
        <f t="shared" si="58"/>
        <v>1708720</v>
      </c>
      <c r="V507" s="659">
        <f t="shared" si="57"/>
        <v>620720</v>
      </c>
      <c r="W507" s="651"/>
    </row>
    <row r="508" spans="1:23" s="760" customFormat="1" ht="47.25" x14ac:dyDescent="0.25">
      <c r="A508" s="683">
        <v>498</v>
      </c>
      <c r="B508" s="685">
        <v>44107</v>
      </c>
      <c r="C508" s="233" t="s">
        <v>6825</v>
      </c>
      <c r="D508" s="233"/>
      <c r="E508" s="233" t="s">
        <v>3479</v>
      </c>
      <c r="F508" s="757" t="s">
        <v>6826</v>
      </c>
      <c r="G508" s="234" t="s">
        <v>6827</v>
      </c>
      <c r="H508" s="757" t="s">
        <v>6828</v>
      </c>
      <c r="I508" s="683"/>
      <c r="J508" s="682"/>
      <c r="K508" s="682" t="s">
        <v>1430</v>
      </c>
      <c r="L508" s="683" t="s">
        <v>572</v>
      </c>
      <c r="M508" s="684">
        <v>2643000</v>
      </c>
      <c r="N508" s="684">
        <v>2907300</v>
      </c>
      <c r="O508" s="683"/>
      <c r="P508" s="685">
        <v>45201</v>
      </c>
      <c r="Q508" s="683"/>
      <c r="R508" s="683"/>
      <c r="S508" s="761">
        <f>N508-2300000</f>
        <v>607300</v>
      </c>
      <c r="T508" s="758"/>
      <c r="U508" s="759">
        <f t="shared" si="58"/>
        <v>1594020</v>
      </c>
      <c r="V508" s="759">
        <f t="shared" si="57"/>
        <v>986720</v>
      </c>
      <c r="W508" s="683" t="s">
        <v>5192</v>
      </c>
    </row>
    <row r="509" spans="1:23" s="660" customFormat="1" ht="31.5" x14ac:dyDescent="0.25">
      <c r="A509" s="651">
        <v>2</v>
      </c>
      <c r="B509" s="652">
        <v>44109</v>
      </c>
      <c r="C509" s="334" t="s">
        <v>6829</v>
      </c>
      <c r="D509" s="334"/>
      <c r="E509" s="334" t="s">
        <v>3479</v>
      </c>
      <c r="F509" s="653" t="s">
        <v>6830</v>
      </c>
      <c r="G509" s="654" t="s">
        <v>6831</v>
      </c>
      <c r="H509" s="653" t="s">
        <v>6832</v>
      </c>
      <c r="I509" s="651"/>
      <c r="J509" s="655"/>
      <c r="K509" s="669" t="s">
        <v>83</v>
      </c>
      <c r="L509" s="662" t="s">
        <v>572</v>
      </c>
      <c r="M509" s="663">
        <v>2828000</v>
      </c>
      <c r="N509" s="663">
        <v>3110800</v>
      </c>
      <c r="O509" s="662"/>
      <c r="P509" s="652">
        <v>45201</v>
      </c>
      <c r="Q509" s="651"/>
      <c r="R509" s="651"/>
      <c r="S509" s="656">
        <f>N509-2300000</f>
        <v>810800</v>
      </c>
      <c r="T509" s="658"/>
      <c r="U509" s="659">
        <f t="shared" si="58"/>
        <v>1708720</v>
      </c>
      <c r="V509" s="659">
        <f t="shared" si="57"/>
        <v>897920</v>
      </c>
      <c r="W509" s="651"/>
    </row>
    <row r="510" spans="1:23" s="660" customFormat="1" ht="47.25" x14ac:dyDescent="0.25">
      <c r="A510" s="651">
        <v>500</v>
      </c>
      <c r="B510" s="652">
        <v>44109</v>
      </c>
      <c r="C510" s="334" t="s">
        <v>6833</v>
      </c>
      <c r="D510" s="334" t="s">
        <v>562</v>
      </c>
      <c r="E510" s="334" t="s">
        <v>3622</v>
      </c>
      <c r="F510" s="653" t="s">
        <v>6834</v>
      </c>
      <c r="G510" s="654" t="s">
        <v>6835</v>
      </c>
      <c r="H510" s="653" t="s">
        <v>6836</v>
      </c>
      <c r="I510" s="651"/>
      <c r="J510" s="655" t="s">
        <v>6821</v>
      </c>
      <c r="K510" s="669" t="s">
        <v>83</v>
      </c>
      <c r="L510" s="662" t="s">
        <v>572</v>
      </c>
      <c r="M510" s="663">
        <v>2828000</v>
      </c>
      <c r="N510" s="663">
        <v>3110800</v>
      </c>
      <c r="O510" s="651"/>
      <c r="P510" s="652">
        <v>45204</v>
      </c>
      <c r="Q510" s="651"/>
      <c r="R510" s="673">
        <v>0.4</v>
      </c>
      <c r="S510" s="663">
        <f>(2643000-3000*36)*40%</f>
        <v>1014000</v>
      </c>
      <c r="T510" s="658">
        <v>500000</v>
      </c>
      <c r="U510" s="659">
        <f t="shared" si="58"/>
        <v>1708720</v>
      </c>
      <c r="V510" s="659">
        <f t="shared" si="57"/>
        <v>694720</v>
      </c>
      <c r="W510" s="651"/>
    </row>
    <row r="511" spans="1:23" s="660" customFormat="1" ht="47.25" x14ac:dyDescent="0.25">
      <c r="A511" s="651">
        <v>501</v>
      </c>
      <c r="B511" s="652">
        <v>44109</v>
      </c>
      <c r="C511" s="334" t="s">
        <v>6837</v>
      </c>
      <c r="D511" s="334"/>
      <c r="E511" s="334" t="s">
        <v>3479</v>
      </c>
      <c r="F511" s="653" t="s">
        <v>6839</v>
      </c>
      <c r="G511" s="654" t="s">
        <v>6838</v>
      </c>
      <c r="H511" s="653" t="s">
        <v>6840</v>
      </c>
      <c r="I511" s="651"/>
      <c r="J511" s="655"/>
      <c r="K511" s="687" t="s">
        <v>94</v>
      </c>
      <c r="L511" s="686" t="s">
        <v>777</v>
      </c>
      <c r="M511" s="690">
        <v>1061000</v>
      </c>
      <c r="N511" s="690">
        <v>1277100</v>
      </c>
      <c r="O511" s="651"/>
      <c r="P511" s="652">
        <v>44474</v>
      </c>
      <c r="Q511" s="651"/>
      <c r="R511" s="651"/>
      <c r="S511" s="656">
        <v>177000</v>
      </c>
      <c r="T511" s="658"/>
      <c r="U511" s="659">
        <f t="shared" si="58"/>
        <v>613180</v>
      </c>
      <c r="V511" s="659">
        <f t="shared" si="57"/>
        <v>436180</v>
      </c>
      <c r="W511" s="651"/>
    </row>
    <row r="512" spans="1:23" s="660" customFormat="1" ht="31.5" x14ac:dyDescent="0.25">
      <c r="A512" s="651">
        <v>502</v>
      </c>
      <c r="B512" s="652">
        <v>44110</v>
      </c>
      <c r="C512" s="334" t="s">
        <v>6841</v>
      </c>
      <c r="D512" s="334" t="s">
        <v>7209</v>
      </c>
      <c r="E512" s="334" t="s">
        <v>3622</v>
      </c>
      <c r="F512" s="653" t="s">
        <v>6843</v>
      </c>
      <c r="G512" s="654" t="s">
        <v>6842</v>
      </c>
      <c r="H512" s="653" t="s">
        <v>6844</v>
      </c>
      <c r="I512" s="651"/>
      <c r="J512" s="655" t="s">
        <v>6821</v>
      </c>
      <c r="K512" s="669" t="s">
        <v>83</v>
      </c>
      <c r="L512" s="662" t="s">
        <v>572</v>
      </c>
      <c r="M512" s="663">
        <v>2828000</v>
      </c>
      <c r="N512" s="663">
        <v>3110800</v>
      </c>
      <c r="O512" s="651"/>
      <c r="P512" s="652">
        <v>45204</v>
      </c>
      <c r="Q512" s="651"/>
      <c r="R512" s="673">
        <v>0.4</v>
      </c>
      <c r="S512" s="663">
        <f>(2643000-3000*36)*40%</f>
        <v>1014000</v>
      </c>
      <c r="T512" s="658"/>
      <c r="U512" s="659">
        <f t="shared" si="58"/>
        <v>1708720</v>
      </c>
      <c r="V512" s="659">
        <f t="shared" si="57"/>
        <v>694720</v>
      </c>
      <c r="W512" s="651"/>
    </row>
    <row r="513" spans="1:23" s="760" customFormat="1" ht="47.25" x14ac:dyDescent="0.25">
      <c r="A513" s="683">
        <v>503</v>
      </c>
      <c r="B513" s="685">
        <v>44110</v>
      </c>
      <c r="C513" s="233" t="s">
        <v>6845</v>
      </c>
      <c r="D513" s="233" t="s">
        <v>6713</v>
      </c>
      <c r="E513" s="233" t="s">
        <v>3622</v>
      </c>
      <c r="F513" s="757" t="s">
        <v>6846</v>
      </c>
      <c r="G513" s="234" t="s">
        <v>6847</v>
      </c>
      <c r="H513" s="757"/>
      <c r="I513" s="683"/>
      <c r="J513" s="682"/>
      <c r="K513" s="682" t="s">
        <v>1430</v>
      </c>
      <c r="L513" s="683" t="s">
        <v>572</v>
      </c>
      <c r="M513" s="684">
        <v>2643000</v>
      </c>
      <c r="N513" s="684">
        <v>2907300</v>
      </c>
      <c r="O513" s="683"/>
      <c r="P513" s="685">
        <v>44110</v>
      </c>
      <c r="Q513" s="683"/>
      <c r="R513" s="770">
        <v>0.5</v>
      </c>
      <c r="S513" s="764">
        <f>(2643000-3000*36)*50%</f>
        <v>1267500</v>
      </c>
      <c r="T513" s="758"/>
      <c r="U513" s="759">
        <f t="shared" si="58"/>
        <v>1594020</v>
      </c>
      <c r="V513" s="759">
        <f t="shared" si="57"/>
        <v>326520</v>
      </c>
      <c r="W513" s="772" t="s">
        <v>7208</v>
      </c>
    </row>
    <row r="514" spans="1:23" s="760" customFormat="1" ht="47.25" x14ac:dyDescent="0.25">
      <c r="A514" s="683">
        <v>504</v>
      </c>
      <c r="B514" s="685">
        <v>44111</v>
      </c>
      <c r="C514" s="233" t="s">
        <v>6850</v>
      </c>
      <c r="D514" s="233" t="s">
        <v>6849</v>
      </c>
      <c r="E514" s="233" t="s">
        <v>4753</v>
      </c>
      <c r="F514" s="757" t="s">
        <v>6848</v>
      </c>
      <c r="G514" s="234" t="s">
        <v>6851</v>
      </c>
      <c r="H514" s="757" t="s">
        <v>6852</v>
      </c>
      <c r="I514" s="683"/>
      <c r="J514" s="682"/>
      <c r="K514" s="771" t="s">
        <v>83</v>
      </c>
      <c r="L514" s="772" t="s">
        <v>572</v>
      </c>
      <c r="M514" s="764">
        <v>2828000</v>
      </c>
      <c r="N514" s="764">
        <v>3110800</v>
      </c>
      <c r="O514" s="683"/>
      <c r="P514" s="685">
        <v>45206</v>
      </c>
      <c r="Q514" s="683"/>
      <c r="R514" s="776">
        <v>0.4</v>
      </c>
      <c r="S514" s="764">
        <f>(2643000-3000*36)*40%</f>
        <v>1014000</v>
      </c>
      <c r="T514" s="758"/>
      <c r="U514" s="759">
        <f t="shared" si="58"/>
        <v>1708720</v>
      </c>
      <c r="V514" s="759">
        <f t="shared" si="57"/>
        <v>694720</v>
      </c>
      <c r="W514" s="683" t="s">
        <v>6984</v>
      </c>
    </row>
    <row r="515" spans="1:23" s="760" customFormat="1" ht="47.25" x14ac:dyDescent="0.25">
      <c r="A515" s="651">
        <v>505</v>
      </c>
      <c r="B515" s="685">
        <v>44111</v>
      </c>
      <c r="C515" s="233" t="s">
        <v>6853</v>
      </c>
      <c r="D515" s="233" t="s">
        <v>6854</v>
      </c>
      <c r="E515" s="233" t="s">
        <v>5693</v>
      </c>
      <c r="F515" s="757" t="s">
        <v>6855</v>
      </c>
      <c r="G515" s="234" t="s">
        <v>6856</v>
      </c>
      <c r="H515" s="757" t="s">
        <v>6861</v>
      </c>
      <c r="I515" s="683"/>
      <c r="J515" s="682"/>
      <c r="K515" s="10" t="s">
        <v>1430</v>
      </c>
      <c r="L515" s="19" t="s">
        <v>756</v>
      </c>
      <c r="M515" s="214">
        <v>1992000</v>
      </c>
      <c r="N515" s="214">
        <v>2191200</v>
      </c>
      <c r="O515" s="19"/>
      <c r="P515" s="22">
        <v>44835</v>
      </c>
      <c r="Q515" s="19"/>
      <c r="R515" s="165">
        <v>0.4</v>
      </c>
      <c r="S515" s="214">
        <f>(M515-3000*24)*40%</f>
        <v>768000</v>
      </c>
      <c r="T515" s="758"/>
      <c r="U515" s="759">
        <f t="shared" si="58"/>
        <v>1190400</v>
      </c>
      <c r="V515" s="759">
        <f t="shared" si="57"/>
        <v>422400</v>
      </c>
      <c r="W515" s="683" t="s">
        <v>6857</v>
      </c>
    </row>
    <row r="516" spans="1:23" s="760" customFormat="1" ht="63" x14ac:dyDescent="0.25">
      <c r="A516" s="683">
        <v>506</v>
      </c>
      <c r="B516" s="685">
        <v>44111</v>
      </c>
      <c r="C516" s="233" t="s">
        <v>6858</v>
      </c>
      <c r="D516" s="233" t="s">
        <v>6854</v>
      </c>
      <c r="E516" s="233" t="s">
        <v>3479</v>
      </c>
      <c r="F516" s="757" t="s">
        <v>6859</v>
      </c>
      <c r="G516" s="234" t="s">
        <v>6860</v>
      </c>
      <c r="H516" s="757" t="s">
        <v>6862</v>
      </c>
      <c r="I516" s="683"/>
      <c r="J516" s="682"/>
      <c r="K516" s="710" t="s">
        <v>94</v>
      </c>
      <c r="L516" s="710" t="s">
        <v>777</v>
      </c>
      <c r="M516" s="656">
        <v>1161000</v>
      </c>
      <c r="N516" s="713">
        <v>1277100</v>
      </c>
      <c r="O516" s="710"/>
      <c r="P516" s="774">
        <v>44469</v>
      </c>
      <c r="Q516" s="710"/>
      <c r="R516" s="775">
        <v>0.4</v>
      </c>
      <c r="S516" s="214">
        <f>(M516-3000*12)*40%</f>
        <v>450000</v>
      </c>
      <c r="T516" s="758"/>
      <c r="U516" s="759">
        <f t="shared" si="58"/>
        <v>675180</v>
      </c>
      <c r="V516" s="759">
        <f t="shared" si="57"/>
        <v>225180</v>
      </c>
      <c r="W516" s="683" t="s">
        <v>6920</v>
      </c>
    </row>
    <row r="517" spans="1:23" s="660" customFormat="1" ht="47.25" x14ac:dyDescent="0.25">
      <c r="A517" s="651">
        <v>507</v>
      </c>
      <c r="B517" s="652">
        <v>44112</v>
      </c>
      <c r="C517" s="334" t="s">
        <v>6863</v>
      </c>
      <c r="D517" s="334"/>
      <c r="E517" s="334" t="s">
        <v>5768</v>
      </c>
      <c r="F517" s="653" t="s">
        <v>6865</v>
      </c>
      <c r="G517" s="654" t="s">
        <v>6866</v>
      </c>
      <c r="H517" s="653" t="s">
        <v>6864</v>
      </c>
      <c r="I517" s="651"/>
      <c r="J517" s="655"/>
      <c r="K517" s="655" t="s">
        <v>1430</v>
      </c>
      <c r="L517" s="651" t="s">
        <v>572</v>
      </c>
      <c r="M517" s="670">
        <v>2643000</v>
      </c>
      <c r="N517" s="670">
        <v>2907300</v>
      </c>
      <c r="O517" s="651"/>
      <c r="P517" s="652">
        <v>44110</v>
      </c>
      <c r="Q517" s="651"/>
      <c r="R517" s="657">
        <v>0.4</v>
      </c>
      <c r="S517" s="663">
        <f>(2643000-3000*36)*40%</f>
        <v>1014000</v>
      </c>
      <c r="T517" s="658"/>
      <c r="U517" s="659">
        <f t="shared" si="58"/>
        <v>1594020</v>
      </c>
      <c r="V517" s="659">
        <f t="shared" si="57"/>
        <v>580020</v>
      </c>
      <c r="W517" s="651"/>
    </row>
    <row r="518" spans="1:23" s="760" customFormat="1" ht="63" x14ac:dyDescent="0.25">
      <c r="A518" s="683"/>
      <c r="B518" s="685">
        <v>44112</v>
      </c>
      <c r="C518" s="233" t="s">
        <v>7464</v>
      </c>
      <c r="D518" s="233"/>
      <c r="E518" s="233" t="s">
        <v>3646</v>
      </c>
      <c r="F518" s="757" t="s">
        <v>7465</v>
      </c>
      <c r="G518" s="234" t="s">
        <v>6634</v>
      </c>
      <c r="H518" s="757" t="s">
        <v>7466</v>
      </c>
      <c r="I518" s="683"/>
      <c r="J518" s="682"/>
      <c r="K518" s="682" t="s">
        <v>1430</v>
      </c>
      <c r="L518" s="683" t="s">
        <v>572</v>
      </c>
      <c r="M518" s="684">
        <v>2643000</v>
      </c>
      <c r="N518" s="684">
        <v>2907300</v>
      </c>
      <c r="O518" s="683"/>
      <c r="P518" s="685">
        <v>44110</v>
      </c>
      <c r="Q518" s="683"/>
      <c r="R518" s="770">
        <v>0.4</v>
      </c>
      <c r="S518" s="764">
        <f>(2643000-3000*36)*40%</f>
        <v>1014000</v>
      </c>
      <c r="T518" s="758"/>
      <c r="U518" s="759">
        <f t="shared" si="58"/>
        <v>1594020</v>
      </c>
      <c r="V518" s="759">
        <f t="shared" si="57"/>
        <v>580020</v>
      </c>
      <c r="W518" s="683" t="s">
        <v>3877</v>
      </c>
    </row>
    <row r="519" spans="1:23" s="660" customFormat="1" ht="47.25" x14ac:dyDescent="0.25">
      <c r="A519" s="651">
        <v>508</v>
      </c>
      <c r="B519" s="652">
        <v>44112</v>
      </c>
      <c r="C519" s="334" t="s">
        <v>6867</v>
      </c>
      <c r="D519" s="334" t="s">
        <v>3479</v>
      </c>
      <c r="E519" s="334"/>
      <c r="F519" s="653" t="s">
        <v>6868</v>
      </c>
      <c r="G519" s="654" t="s">
        <v>6869</v>
      </c>
      <c r="H519" s="653"/>
      <c r="I519" s="651"/>
      <c r="J519" s="655"/>
      <c r="K519" s="691" t="s">
        <v>94</v>
      </c>
      <c r="L519" s="691" t="s">
        <v>777</v>
      </c>
      <c r="M519" s="690">
        <v>1061000</v>
      </c>
      <c r="N519" s="690">
        <v>1277100</v>
      </c>
      <c r="O519" s="691"/>
      <c r="P519" s="766">
        <v>44469</v>
      </c>
      <c r="Q519" s="691"/>
      <c r="R519" s="767">
        <v>0.4</v>
      </c>
      <c r="S519" s="273">
        <f>(M519-3000*12)*40%</f>
        <v>410000</v>
      </c>
      <c r="T519" s="658"/>
      <c r="U519" s="659">
        <f t="shared" si="58"/>
        <v>613180</v>
      </c>
      <c r="V519" s="659">
        <f t="shared" si="57"/>
        <v>203180</v>
      </c>
      <c r="W519" s="651"/>
    </row>
    <row r="520" spans="1:23" s="660" customFormat="1" ht="63" x14ac:dyDescent="0.25">
      <c r="A520" s="651">
        <v>509</v>
      </c>
      <c r="B520" s="652">
        <v>44113</v>
      </c>
      <c r="C520" s="334" t="s">
        <v>6870</v>
      </c>
      <c r="D520" s="334" t="s">
        <v>309</v>
      </c>
      <c r="E520" s="334" t="s">
        <v>4753</v>
      </c>
      <c r="F520" s="653" t="s">
        <v>2712</v>
      </c>
      <c r="G520" s="654" t="s">
        <v>2714</v>
      </c>
      <c r="H520" s="653"/>
      <c r="I520" s="651"/>
      <c r="J520" s="655"/>
      <c r="K520" s="669" t="s">
        <v>83</v>
      </c>
      <c r="L520" s="662" t="s">
        <v>572</v>
      </c>
      <c r="M520" s="663">
        <v>2828000</v>
      </c>
      <c r="N520" s="663">
        <v>3110800</v>
      </c>
      <c r="O520" s="651"/>
      <c r="P520" s="652">
        <v>45204</v>
      </c>
      <c r="Q520" s="651"/>
      <c r="R520" s="673">
        <v>0.4</v>
      </c>
      <c r="S520" s="663">
        <f>(2643000-3000*36)*40%</f>
        <v>1014000</v>
      </c>
      <c r="T520" s="658"/>
      <c r="U520" s="659">
        <f t="shared" si="58"/>
        <v>1708720</v>
      </c>
      <c r="V520" s="659">
        <f t="shared" si="57"/>
        <v>694720</v>
      </c>
      <c r="W520" s="651"/>
    </row>
    <row r="521" spans="1:23" s="660" customFormat="1" ht="47.25" x14ac:dyDescent="0.25">
      <c r="A521" s="651">
        <v>510</v>
      </c>
      <c r="B521" s="652">
        <v>44114</v>
      </c>
      <c r="C521" s="334" t="s">
        <v>2560</v>
      </c>
      <c r="D521" s="334" t="s">
        <v>309</v>
      </c>
      <c r="E521" s="334" t="s">
        <v>5768</v>
      </c>
      <c r="F521" s="653" t="s">
        <v>6871</v>
      </c>
      <c r="G521" s="654" t="s">
        <v>2562</v>
      </c>
      <c r="H521" s="653"/>
      <c r="I521" s="651"/>
      <c r="J521" s="655"/>
      <c r="K521" s="669" t="s">
        <v>83</v>
      </c>
      <c r="L521" s="662" t="s">
        <v>572</v>
      </c>
      <c r="M521" s="663">
        <v>2828000</v>
      </c>
      <c r="N521" s="663">
        <v>3110800</v>
      </c>
      <c r="O521" s="651"/>
      <c r="P521" s="652">
        <v>45204</v>
      </c>
      <c r="Q521" s="651"/>
      <c r="R521" s="673">
        <v>0.4</v>
      </c>
      <c r="S521" s="663">
        <f>(2643000-3000*36)*40%</f>
        <v>1014000</v>
      </c>
      <c r="T521" s="658"/>
      <c r="U521" s="659">
        <f t="shared" si="58"/>
        <v>1708720</v>
      </c>
      <c r="V521" s="659">
        <f t="shared" si="57"/>
        <v>694720</v>
      </c>
      <c r="W521" s="651"/>
    </row>
    <row r="522" spans="1:23" s="760" customFormat="1" ht="47.25" x14ac:dyDescent="0.25">
      <c r="A522" s="651">
        <v>511</v>
      </c>
      <c r="B522" s="685">
        <v>44114</v>
      </c>
      <c r="C522" s="233" t="s">
        <v>6872</v>
      </c>
      <c r="D522" s="233" t="s">
        <v>6854</v>
      </c>
      <c r="E522" s="233" t="s">
        <v>3479</v>
      </c>
      <c r="F522" s="757" t="s">
        <v>6874</v>
      </c>
      <c r="G522" s="234" t="s">
        <v>6873</v>
      </c>
      <c r="H522" s="757"/>
      <c r="I522" s="683"/>
      <c r="J522" s="682" t="s">
        <v>6821</v>
      </c>
      <c r="K522" s="682" t="s">
        <v>1430</v>
      </c>
      <c r="L522" s="683" t="s">
        <v>572</v>
      </c>
      <c r="M522" s="684">
        <v>2643000</v>
      </c>
      <c r="N522" s="684">
        <v>2907300</v>
      </c>
      <c r="O522" s="683"/>
      <c r="P522" s="685">
        <v>44110</v>
      </c>
      <c r="Q522" s="683"/>
      <c r="R522" s="770">
        <v>0.4</v>
      </c>
      <c r="S522" s="764">
        <f>N522-1850000</f>
        <v>1057300</v>
      </c>
      <c r="T522" s="758"/>
      <c r="U522" s="759">
        <f t="shared" si="58"/>
        <v>1594020</v>
      </c>
      <c r="V522" s="759">
        <f t="shared" si="57"/>
        <v>536720</v>
      </c>
      <c r="W522" s="683" t="s">
        <v>6875</v>
      </c>
    </row>
    <row r="523" spans="1:23" s="660" customFormat="1" ht="47.25" x14ac:dyDescent="0.25">
      <c r="A523" s="651">
        <v>512</v>
      </c>
      <c r="B523" s="652">
        <v>44114</v>
      </c>
      <c r="C523" s="334" t="s">
        <v>6876</v>
      </c>
      <c r="D523" s="334"/>
      <c r="E523" s="334" t="s">
        <v>2404</v>
      </c>
      <c r="F523" s="653" t="s">
        <v>6877</v>
      </c>
      <c r="G523" s="654" t="s">
        <v>6878</v>
      </c>
      <c r="H523" s="653" t="s">
        <v>3205</v>
      </c>
      <c r="I523" s="651"/>
      <c r="J523" s="655"/>
      <c r="K523" s="655" t="s">
        <v>180</v>
      </c>
      <c r="L523" s="651" t="s">
        <v>777</v>
      </c>
      <c r="M523" s="656">
        <v>1161000</v>
      </c>
      <c r="N523" s="656">
        <v>1827100</v>
      </c>
      <c r="O523" s="651"/>
      <c r="P523" s="652">
        <v>44471</v>
      </c>
      <c r="Q523" s="651"/>
      <c r="R523" s="657">
        <v>0.4</v>
      </c>
      <c r="S523" s="663">
        <f>(M523-3000*36)*40%</f>
        <v>421200</v>
      </c>
      <c r="T523" s="658"/>
      <c r="U523" s="659">
        <f t="shared" si="58"/>
        <v>675180</v>
      </c>
      <c r="V523" s="659">
        <f t="shared" si="57"/>
        <v>253980</v>
      </c>
      <c r="W523" s="651"/>
    </row>
    <row r="524" spans="1:23" s="816" customFormat="1" ht="47.25" x14ac:dyDescent="0.25">
      <c r="A524" s="655">
        <v>513</v>
      </c>
      <c r="B524" s="809">
        <v>44114</v>
      </c>
      <c r="C524" s="654" t="s">
        <v>2422</v>
      </c>
      <c r="D524" s="654" t="s">
        <v>562</v>
      </c>
      <c r="E524" s="654" t="s">
        <v>3622</v>
      </c>
      <c r="F524" s="810" t="s">
        <v>2426</v>
      </c>
      <c r="G524" s="811" t="s">
        <v>2423</v>
      </c>
      <c r="H524" s="810" t="s">
        <v>6879</v>
      </c>
      <c r="I524" s="655"/>
      <c r="J524" s="655"/>
      <c r="K524" s="655" t="s">
        <v>1430</v>
      </c>
      <c r="L524" s="655" t="s">
        <v>572</v>
      </c>
      <c r="M524" s="812">
        <v>2643000</v>
      </c>
      <c r="N524" s="812">
        <v>2907300</v>
      </c>
      <c r="O524" s="655"/>
      <c r="P524" s="809">
        <v>44110</v>
      </c>
      <c r="Q524" s="655"/>
      <c r="R524" s="813">
        <v>0.4</v>
      </c>
      <c r="S524" s="814">
        <f>(M524-3000*36)*40%</f>
        <v>1014000</v>
      </c>
      <c r="T524" s="815" t="s">
        <v>6880</v>
      </c>
      <c r="U524" s="655">
        <f t="shared" si="58"/>
        <v>1594020</v>
      </c>
      <c r="V524" s="655">
        <f t="shared" si="57"/>
        <v>580020</v>
      </c>
      <c r="W524" s="655"/>
    </row>
    <row r="525" spans="1:23" s="816" customFormat="1" ht="47.25" x14ac:dyDescent="0.25">
      <c r="A525" s="655">
        <v>514</v>
      </c>
      <c r="B525" s="809">
        <v>44114</v>
      </c>
      <c r="C525" s="654" t="s">
        <v>6881</v>
      </c>
      <c r="D525" s="654" t="s">
        <v>3622</v>
      </c>
      <c r="E525" s="654"/>
      <c r="F525" s="810" t="s">
        <v>6882</v>
      </c>
      <c r="G525" s="654" t="s">
        <v>6883</v>
      </c>
      <c r="H525" s="810"/>
      <c r="I525" s="655"/>
      <c r="J525" s="655"/>
      <c r="K525" s="655" t="s">
        <v>1430</v>
      </c>
      <c r="L525" s="655" t="s">
        <v>572</v>
      </c>
      <c r="M525" s="812">
        <v>2643000</v>
      </c>
      <c r="N525" s="812">
        <v>2907300</v>
      </c>
      <c r="O525" s="655"/>
      <c r="P525" s="809">
        <v>44110</v>
      </c>
      <c r="Q525" s="655"/>
      <c r="R525" s="813">
        <v>0.4</v>
      </c>
      <c r="S525" s="814">
        <f>(M525-3000*36)*40%</f>
        <v>1014000</v>
      </c>
      <c r="T525" s="815"/>
      <c r="U525" s="655">
        <f t="shared" si="58"/>
        <v>1594020</v>
      </c>
      <c r="V525" s="655">
        <f t="shared" si="57"/>
        <v>580020</v>
      </c>
      <c r="W525" s="655"/>
    </row>
    <row r="526" spans="1:23" s="769" customFormat="1" ht="47.25" x14ac:dyDescent="0.25">
      <c r="A526" s="659">
        <v>515</v>
      </c>
      <c r="B526" s="661">
        <v>44114</v>
      </c>
      <c r="C526" s="648" t="s">
        <v>2560</v>
      </c>
      <c r="D526" s="648" t="s">
        <v>309</v>
      </c>
      <c r="E526" s="648" t="s">
        <v>5768</v>
      </c>
      <c r="F526" s="765" t="s">
        <v>6871</v>
      </c>
      <c r="G526" s="648" t="s">
        <v>2562</v>
      </c>
      <c r="H526" s="765"/>
      <c r="I526" s="659"/>
      <c r="J526" s="659"/>
      <c r="K526" s="664" t="s">
        <v>83</v>
      </c>
      <c r="L526" s="664" t="s">
        <v>572</v>
      </c>
      <c r="M526" s="663">
        <v>2828000</v>
      </c>
      <c r="N526" s="663">
        <v>3110800</v>
      </c>
      <c r="O526" s="659"/>
      <c r="P526" s="661">
        <v>45209</v>
      </c>
      <c r="Q526" s="659"/>
      <c r="R526" s="801">
        <v>0.4</v>
      </c>
      <c r="S526" s="663">
        <f>(M526-3000*36)*40%</f>
        <v>1088000</v>
      </c>
      <c r="T526" s="768"/>
      <c r="U526" s="659">
        <f t="shared" si="58"/>
        <v>1708720</v>
      </c>
      <c r="V526" s="659">
        <f t="shared" si="57"/>
        <v>620720</v>
      </c>
      <c r="W526" s="659"/>
    </row>
    <row r="527" spans="1:23" s="805" customFormat="1" ht="47.25" x14ac:dyDescent="0.25">
      <c r="A527" s="659">
        <v>516</v>
      </c>
      <c r="B527" s="802">
        <v>44114</v>
      </c>
      <c r="C527" s="240" t="s">
        <v>6886</v>
      </c>
      <c r="D527" s="240" t="s">
        <v>3404</v>
      </c>
      <c r="E527" s="240" t="s">
        <v>3479</v>
      </c>
      <c r="F527" s="803" t="s">
        <v>6887</v>
      </c>
      <c r="G527" s="240" t="s">
        <v>6873</v>
      </c>
      <c r="H527" s="803" t="s">
        <v>6888</v>
      </c>
      <c r="I527" s="759"/>
      <c r="J527" s="759"/>
      <c r="K527" s="785" t="s">
        <v>83</v>
      </c>
      <c r="L527" s="785" t="s">
        <v>572</v>
      </c>
      <c r="M527" s="764">
        <v>2828000</v>
      </c>
      <c r="N527" s="764">
        <v>3110800</v>
      </c>
      <c r="O527" s="759"/>
      <c r="P527" s="802">
        <v>45209</v>
      </c>
      <c r="Q527" s="759"/>
      <c r="R527" s="759"/>
      <c r="S527" s="761">
        <f>N527-1850000</f>
        <v>1260800</v>
      </c>
      <c r="T527" s="804"/>
      <c r="U527" s="759">
        <f t="shared" si="58"/>
        <v>1708720</v>
      </c>
      <c r="V527" s="759">
        <f t="shared" si="57"/>
        <v>447920</v>
      </c>
      <c r="W527" s="759" t="s">
        <v>6875</v>
      </c>
    </row>
    <row r="528" spans="1:23" s="660" customFormat="1" ht="63" x14ac:dyDescent="0.25">
      <c r="A528" s="651">
        <v>517</v>
      </c>
      <c r="B528" s="652">
        <v>44116</v>
      </c>
      <c r="C528" s="334" t="s">
        <v>6889</v>
      </c>
      <c r="D528" s="334" t="s">
        <v>6890</v>
      </c>
      <c r="E528" s="334" t="s">
        <v>4753</v>
      </c>
      <c r="F528" s="653" t="s">
        <v>6891</v>
      </c>
      <c r="G528" s="654" t="s">
        <v>6892</v>
      </c>
      <c r="H528" s="655" t="s">
        <v>6893</v>
      </c>
      <c r="I528" s="651"/>
      <c r="J528" s="655" t="s">
        <v>6890</v>
      </c>
      <c r="K528" s="669" t="s">
        <v>83</v>
      </c>
      <c r="L528" s="662" t="s">
        <v>572</v>
      </c>
      <c r="M528" s="663">
        <v>2828000</v>
      </c>
      <c r="N528" s="663">
        <v>3110800</v>
      </c>
      <c r="O528" s="651"/>
      <c r="P528" s="652">
        <v>45209</v>
      </c>
      <c r="Q528" s="651"/>
      <c r="R528" s="657">
        <v>0.4</v>
      </c>
      <c r="S528" s="663">
        <f>(M528-3000*36)*40%</f>
        <v>1088000</v>
      </c>
      <c r="T528" s="658"/>
      <c r="U528" s="659">
        <f t="shared" si="58"/>
        <v>1708720</v>
      </c>
      <c r="V528" s="659">
        <f t="shared" si="57"/>
        <v>620720</v>
      </c>
      <c r="W528" s="651"/>
    </row>
    <row r="529" spans="1:23" s="760" customFormat="1" ht="63" x14ac:dyDescent="0.25">
      <c r="A529" s="651">
        <v>518</v>
      </c>
      <c r="B529" s="685">
        <v>44116</v>
      </c>
      <c r="C529" s="233" t="s">
        <v>1753</v>
      </c>
      <c r="D529" s="233" t="s">
        <v>1987</v>
      </c>
      <c r="E529" s="233" t="s">
        <v>3479</v>
      </c>
      <c r="F529" s="757" t="s">
        <v>1755</v>
      </c>
      <c r="G529" s="234" t="s">
        <v>6894</v>
      </c>
      <c r="H529" s="757"/>
      <c r="I529" s="683"/>
      <c r="J529" s="682"/>
      <c r="K529" s="682" t="s">
        <v>1430</v>
      </c>
      <c r="L529" s="683" t="s">
        <v>756</v>
      </c>
      <c r="M529" s="761">
        <v>1992000</v>
      </c>
      <c r="N529" s="761">
        <v>2191200</v>
      </c>
      <c r="O529" s="683"/>
      <c r="P529" s="685">
        <v>44846</v>
      </c>
      <c r="Q529" s="683"/>
      <c r="R529" s="770">
        <v>0.35</v>
      </c>
      <c r="S529" s="764">
        <f>(M529-3000*36)*35%</f>
        <v>659400</v>
      </c>
      <c r="T529" s="758">
        <f>N529-1800000</f>
        <v>391200</v>
      </c>
      <c r="U529" s="759">
        <f t="shared" si="58"/>
        <v>1190400</v>
      </c>
      <c r="V529" s="759">
        <f t="shared" si="57"/>
        <v>531000</v>
      </c>
      <c r="W529" s="788" t="s">
        <v>7120</v>
      </c>
    </row>
    <row r="530" spans="1:23" s="660" customFormat="1" ht="31.5" x14ac:dyDescent="0.25">
      <c r="A530" s="651">
        <v>519</v>
      </c>
      <c r="B530" s="652">
        <v>44116</v>
      </c>
      <c r="C530" s="334" t="s">
        <v>1330</v>
      </c>
      <c r="D530" s="334"/>
      <c r="E530" s="334" t="s">
        <v>3479</v>
      </c>
      <c r="F530" s="653" t="s">
        <v>6895</v>
      </c>
      <c r="G530" s="654" t="s">
        <v>6896</v>
      </c>
      <c r="H530" s="653" t="s">
        <v>1333</v>
      </c>
      <c r="I530" s="651"/>
      <c r="J530" s="655"/>
      <c r="K530" s="691" t="s">
        <v>94</v>
      </c>
      <c r="L530" s="691" t="s">
        <v>777</v>
      </c>
      <c r="M530" s="690">
        <v>1061000</v>
      </c>
      <c r="N530" s="690">
        <v>1277100</v>
      </c>
      <c r="O530" s="651"/>
      <c r="P530" s="652">
        <v>44481</v>
      </c>
      <c r="Q530" s="651"/>
      <c r="R530" s="657">
        <v>0.4</v>
      </c>
      <c r="S530" s="663">
        <f>(M530-3000*36)*40%</f>
        <v>381200</v>
      </c>
      <c r="T530" s="658"/>
      <c r="U530" s="659">
        <f t="shared" si="58"/>
        <v>613180</v>
      </c>
      <c r="V530" s="659">
        <f t="shared" si="57"/>
        <v>231980</v>
      </c>
      <c r="W530" s="651"/>
    </row>
    <row r="531" spans="1:23" s="760" customFormat="1" ht="78.75" x14ac:dyDescent="0.25">
      <c r="A531" s="683">
        <v>520</v>
      </c>
      <c r="B531" s="685">
        <v>44117</v>
      </c>
      <c r="C531" s="233" t="s">
        <v>6897</v>
      </c>
      <c r="D531" s="233" t="s">
        <v>6713</v>
      </c>
      <c r="E531" s="233" t="s">
        <v>3479</v>
      </c>
      <c r="F531" s="757" t="s">
        <v>6899</v>
      </c>
      <c r="G531" s="234" t="s">
        <v>6898</v>
      </c>
      <c r="H531" s="757"/>
      <c r="I531" s="787" t="s">
        <v>6900</v>
      </c>
      <c r="J531" s="682"/>
      <c r="K531" s="710" t="s">
        <v>94</v>
      </c>
      <c r="L531" s="710" t="s">
        <v>777</v>
      </c>
      <c r="M531" s="713">
        <v>1061000</v>
      </c>
      <c r="N531" s="713">
        <v>1277100</v>
      </c>
      <c r="O531" s="683"/>
      <c r="P531" s="685">
        <v>44481</v>
      </c>
      <c r="Q531" s="683"/>
      <c r="R531" s="770">
        <v>0.5</v>
      </c>
      <c r="S531" s="764">
        <f>(M531-3000*36)*50%</f>
        <v>476500</v>
      </c>
      <c r="T531" s="758"/>
      <c r="U531" s="759">
        <f t="shared" si="58"/>
        <v>613180</v>
      </c>
      <c r="V531" s="759">
        <f t="shared" si="57"/>
        <v>136680</v>
      </c>
      <c r="W531" s="683"/>
    </row>
    <row r="532" spans="1:23" s="760" customFormat="1" ht="47.25" x14ac:dyDescent="0.25">
      <c r="A532" s="683">
        <v>521</v>
      </c>
      <c r="B532" s="685">
        <v>44117</v>
      </c>
      <c r="C532" s="233" t="s">
        <v>6774</v>
      </c>
      <c r="D532" s="233"/>
      <c r="E532" s="233" t="s">
        <v>5768</v>
      </c>
      <c r="F532" s="757" t="s">
        <v>6775</v>
      </c>
      <c r="G532" s="234" t="s">
        <v>6776</v>
      </c>
      <c r="H532" s="757" t="s">
        <v>6901</v>
      </c>
      <c r="I532" s="787" t="s">
        <v>6091</v>
      </c>
      <c r="J532" s="682"/>
      <c r="K532" s="771" t="s">
        <v>83</v>
      </c>
      <c r="L532" s="772" t="s">
        <v>572</v>
      </c>
      <c r="M532" s="764">
        <v>2828000</v>
      </c>
      <c r="N532" s="764">
        <v>3110800</v>
      </c>
      <c r="O532" s="683"/>
      <c r="P532" s="685">
        <v>45209</v>
      </c>
      <c r="Q532" s="683"/>
      <c r="R532" s="770">
        <v>0.4</v>
      </c>
      <c r="S532" s="761">
        <f>3110800-2200000</f>
        <v>910800</v>
      </c>
      <c r="T532" s="758"/>
      <c r="U532" s="759">
        <f t="shared" si="58"/>
        <v>1708720</v>
      </c>
      <c r="V532" s="759">
        <f t="shared" si="57"/>
        <v>797920</v>
      </c>
      <c r="W532" s="683" t="s">
        <v>7467</v>
      </c>
    </row>
    <row r="533" spans="1:23" s="660" customFormat="1" ht="63" x14ac:dyDescent="0.25">
      <c r="A533" s="651">
        <v>522</v>
      </c>
      <c r="B533" s="652">
        <v>44119</v>
      </c>
      <c r="C533" s="334" t="s">
        <v>6921</v>
      </c>
      <c r="D533" s="334" t="s">
        <v>562</v>
      </c>
      <c r="E533" s="334" t="s">
        <v>3479</v>
      </c>
      <c r="F533" s="653" t="s">
        <v>6922</v>
      </c>
      <c r="G533" s="654" t="s">
        <v>6923</v>
      </c>
      <c r="H533" s="653" t="s">
        <v>6925</v>
      </c>
      <c r="I533" s="762" t="s">
        <v>6924</v>
      </c>
      <c r="J533" s="655"/>
      <c r="K533" s="691" t="s">
        <v>94</v>
      </c>
      <c r="L533" s="691" t="s">
        <v>777</v>
      </c>
      <c r="M533" s="690">
        <v>1061000</v>
      </c>
      <c r="N533" s="690">
        <v>1277100</v>
      </c>
      <c r="O533" s="651"/>
      <c r="P533" s="651"/>
      <c r="Q533" s="651"/>
      <c r="R533" s="657">
        <v>0.4</v>
      </c>
      <c r="S533" s="663">
        <f>(M533-3000*36)*40%</f>
        <v>381200</v>
      </c>
      <c r="T533" s="658"/>
      <c r="U533" s="659">
        <f t="shared" si="58"/>
        <v>613180</v>
      </c>
      <c r="V533" s="659">
        <f t="shared" si="57"/>
        <v>231980</v>
      </c>
      <c r="W533" s="651"/>
    </row>
    <row r="534" spans="1:23" s="760" customFormat="1" ht="47.25" x14ac:dyDescent="0.25">
      <c r="A534" s="651">
        <v>523</v>
      </c>
      <c r="B534" s="683" t="s">
        <v>6939</v>
      </c>
      <c r="C534" s="233" t="s">
        <v>6926</v>
      </c>
      <c r="D534" s="233"/>
      <c r="E534" s="233" t="s">
        <v>4753</v>
      </c>
      <c r="F534" s="757" t="s">
        <v>6928</v>
      </c>
      <c r="G534" s="234" t="s">
        <v>6929</v>
      </c>
      <c r="H534" s="757" t="s">
        <v>6927</v>
      </c>
      <c r="I534" s="683"/>
      <c r="J534" s="682"/>
      <c r="K534" s="771" t="s">
        <v>83</v>
      </c>
      <c r="L534" s="772" t="s">
        <v>572</v>
      </c>
      <c r="M534" s="764">
        <v>2828000</v>
      </c>
      <c r="N534" s="764">
        <v>3110800</v>
      </c>
      <c r="O534" s="683"/>
      <c r="P534" s="685">
        <v>45214</v>
      </c>
      <c r="Q534" s="683"/>
      <c r="R534" s="683"/>
      <c r="S534" s="761">
        <v>700000</v>
      </c>
      <c r="T534" s="758"/>
      <c r="U534" s="759">
        <f t="shared" si="58"/>
        <v>1708720</v>
      </c>
      <c r="V534" s="759">
        <f t="shared" si="57"/>
        <v>1008720</v>
      </c>
      <c r="W534" s="683" t="s">
        <v>6930</v>
      </c>
    </row>
    <row r="535" spans="1:23" s="660" customFormat="1" ht="47.25" x14ac:dyDescent="0.25">
      <c r="A535" s="651">
        <v>524</v>
      </c>
      <c r="B535" s="652">
        <v>44119</v>
      </c>
      <c r="C535" s="334" t="s">
        <v>6931</v>
      </c>
      <c r="D535" s="334" t="s">
        <v>562</v>
      </c>
      <c r="E535" s="334" t="s">
        <v>3479</v>
      </c>
      <c r="F535" s="653" t="s">
        <v>6932</v>
      </c>
      <c r="G535" s="654" t="s">
        <v>6933</v>
      </c>
      <c r="H535" s="653" t="s">
        <v>6934</v>
      </c>
      <c r="I535" s="651"/>
      <c r="J535" s="655"/>
      <c r="K535" s="655" t="s">
        <v>1430</v>
      </c>
      <c r="L535" s="651" t="s">
        <v>572</v>
      </c>
      <c r="M535" s="670">
        <v>2643000</v>
      </c>
      <c r="N535" s="670">
        <v>2907300</v>
      </c>
      <c r="O535" s="651"/>
      <c r="P535" s="652">
        <v>44118</v>
      </c>
      <c r="Q535" s="651"/>
      <c r="R535" s="657">
        <v>0.4</v>
      </c>
      <c r="S535" s="663">
        <f>(M535-3000*36)*40%</f>
        <v>1014000</v>
      </c>
      <c r="T535" s="658"/>
      <c r="U535" s="659">
        <f t="shared" si="58"/>
        <v>1594020</v>
      </c>
      <c r="V535" s="659">
        <f t="shared" si="57"/>
        <v>580020</v>
      </c>
      <c r="W535" s="651"/>
    </row>
    <row r="536" spans="1:23" s="660" customFormat="1" ht="47.25" x14ac:dyDescent="0.25">
      <c r="A536" s="651">
        <v>525</v>
      </c>
      <c r="B536" s="652">
        <v>44119</v>
      </c>
      <c r="C536" s="334" t="s">
        <v>6935</v>
      </c>
      <c r="D536" s="334"/>
      <c r="E536" s="334" t="s">
        <v>5768</v>
      </c>
      <c r="F536" s="653" t="s">
        <v>6937</v>
      </c>
      <c r="G536" s="654" t="s">
        <v>6936</v>
      </c>
      <c r="H536" s="653" t="s">
        <v>6938</v>
      </c>
      <c r="I536" s="651"/>
      <c r="J536" s="655"/>
      <c r="K536" s="669" t="s">
        <v>83</v>
      </c>
      <c r="L536" s="662" t="s">
        <v>572</v>
      </c>
      <c r="M536" s="663">
        <v>2828000</v>
      </c>
      <c r="N536" s="663">
        <v>3110800</v>
      </c>
      <c r="O536" s="651"/>
      <c r="P536" s="652">
        <v>45214</v>
      </c>
      <c r="Q536" s="651"/>
      <c r="R536" s="657">
        <v>0.4</v>
      </c>
      <c r="S536" s="663">
        <f>(M536-3000*36)*40%</f>
        <v>1088000</v>
      </c>
      <c r="T536" s="658"/>
      <c r="U536" s="659">
        <f t="shared" si="58"/>
        <v>1708720</v>
      </c>
      <c r="V536" s="659">
        <f t="shared" ref="V536:V603" si="61">U536-S536</f>
        <v>620720</v>
      </c>
      <c r="W536" s="651"/>
    </row>
    <row r="537" spans="1:23" s="760" customFormat="1" ht="47.25" x14ac:dyDescent="0.25">
      <c r="A537" s="683">
        <v>526</v>
      </c>
      <c r="B537" s="685">
        <v>44119</v>
      </c>
      <c r="C537" s="233" t="s">
        <v>6940</v>
      </c>
      <c r="D537" s="233" t="s">
        <v>6941</v>
      </c>
      <c r="E537" s="233"/>
      <c r="F537" s="757" t="s">
        <v>6942</v>
      </c>
      <c r="G537" s="234" t="s">
        <v>6319</v>
      </c>
      <c r="H537" s="757" t="s">
        <v>6321</v>
      </c>
      <c r="I537" s="683"/>
      <c r="J537" s="682"/>
      <c r="K537" s="771" t="s">
        <v>83</v>
      </c>
      <c r="L537" s="772" t="s">
        <v>572</v>
      </c>
      <c r="M537" s="764">
        <v>2828000</v>
      </c>
      <c r="N537" s="764">
        <v>3110800</v>
      </c>
      <c r="O537" s="683"/>
      <c r="P537" s="685">
        <v>45214</v>
      </c>
      <c r="Q537" s="683"/>
      <c r="R537" s="770">
        <v>0.4</v>
      </c>
      <c r="S537" s="764">
        <f>(M537-3000*36)*40%</f>
        <v>1088000</v>
      </c>
      <c r="T537" s="758"/>
      <c r="U537" s="759">
        <f t="shared" si="58"/>
        <v>1708720</v>
      </c>
      <c r="V537" s="759">
        <f t="shared" si="61"/>
        <v>620720</v>
      </c>
      <c r="W537" s="683" t="s">
        <v>7456</v>
      </c>
    </row>
    <row r="538" spans="1:23" s="660" customFormat="1" ht="47.25" x14ac:dyDescent="0.25">
      <c r="A538" s="651">
        <v>527</v>
      </c>
      <c r="B538" s="652">
        <v>44119</v>
      </c>
      <c r="C538" s="334" t="s">
        <v>6943</v>
      </c>
      <c r="D538" s="334" t="s">
        <v>3622</v>
      </c>
      <c r="E538" s="334" t="s">
        <v>3622</v>
      </c>
      <c r="F538" s="653" t="s">
        <v>6944</v>
      </c>
      <c r="G538" s="654" t="s">
        <v>6945</v>
      </c>
      <c r="H538" s="653"/>
      <c r="I538" s="651"/>
      <c r="J538" s="655"/>
      <c r="K538" s="655" t="s">
        <v>1430</v>
      </c>
      <c r="L538" s="651" t="s">
        <v>572</v>
      </c>
      <c r="M538" s="670">
        <v>2643000</v>
      </c>
      <c r="N538" s="670">
        <v>2907300</v>
      </c>
      <c r="O538" s="651"/>
      <c r="P538" s="652">
        <v>44118</v>
      </c>
      <c r="Q538" s="651"/>
      <c r="R538" s="657">
        <v>0.4</v>
      </c>
      <c r="S538" s="663">
        <f>(M538-3000*36)*40%</f>
        <v>1014000</v>
      </c>
      <c r="T538" s="658"/>
      <c r="U538" s="659">
        <f t="shared" si="58"/>
        <v>1594020</v>
      </c>
      <c r="V538" s="659">
        <f t="shared" si="61"/>
        <v>580020</v>
      </c>
      <c r="W538" s="651"/>
    </row>
    <row r="539" spans="1:23" s="760" customFormat="1" ht="47.25" x14ac:dyDescent="0.25">
      <c r="A539" s="651">
        <v>528</v>
      </c>
      <c r="B539" s="685">
        <v>44119</v>
      </c>
      <c r="C539" s="233" t="s">
        <v>6946</v>
      </c>
      <c r="D539" s="233" t="s">
        <v>1279</v>
      </c>
      <c r="E539" s="233" t="s">
        <v>3622</v>
      </c>
      <c r="F539" s="757" t="s">
        <v>6947</v>
      </c>
      <c r="G539" s="234" t="s">
        <v>6948</v>
      </c>
      <c r="H539" s="757" t="s">
        <v>6949</v>
      </c>
      <c r="I539" s="683"/>
      <c r="J539" s="682"/>
      <c r="K539" s="759" t="s">
        <v>94</v>
      </c>
      <c r="L539" s="759" t="s">
        <v>777</v>
      </c>
      <c r="M539" s="761">
        <v>1061000</v>
      </c>
      <c r="N539" s="761">
        <v>1277100</v>
      </c>
      <c r="O539" s="683"/>
      <c r="P539" s="685">
        <v>44484</v>
      </c>
      <c r="Q539" s="683"/>
      <c r="R539" s="770">
        <v>0.45</v>
      </c>
      <c r="S539" s="764">
        <f>(M539-3000*36)*45%</f>
        <v>428850</v>
      </c>
      <c r="T539" s="758"/>
      <c r="U539" s="759">
        <f t="shared" si="58"/>
        <v>613180</v>
      </c>
      <c r="V539" s="759">
        <f t="shared" si="61"/>
        <v>184330</v>
      </c>
      <c r="W539" s="683" t="s">
        <v>6973</v>
      </c>
    </row>
    <row r="540" spans="1:23" s="760" customFormat="1" ht="47.25" x14ac:dyDescent="0.25">
      <c r="A540" s="651">
        <v>529</v>
      </c>
      <c r="B540" s="685">
        <v>44120</v>
      </c>
      <c r="C540" s="233" t="s">
        <v>6974</v>
      </c>
      <c r="D540" s="233" t="s">
        <v>6975</v>
      </c>
      <c r="E540" s="233" t="s">
        <v>5768</v>
      </c>
      <c r="F540" s="757" t="s">
        <v>6976</v>
      </c>
      <c r="G540" s="234" t="s">
        <v>6936</v>
      </c>
      <c r="H540" s="757" t="s">
        <v>6937</v>
      </c>
      <c r="I540" s="683"/>
      <c r="J540" s="682"/>
      <c r="K540" s="771" t="s">
        <v>83</v>
      </c>
      <c r="L540" s="772" t="s">
        <v>572</v>
      </c>
      <c r="M540" s="764">
        <v>2828000</v>
      </c>
      <c r="N540" s="764">
        <v>3110800</v>
      </c>
      <c r="O540" s="683"/>
      <c r="P540" s="685">
        <v>45214</v>
      </c>
      <c r="Q540" s="683"/>
      <c r="R540" s="770">
        <v>0.4</v>
      </c>
      <c r="S540" s="764">
        <f>(M540-3000*36)*40%</f>
        <v>1088000</v>
      </c>
      <c r="T540" s="758"/>
      <c r="U540" s="759">
        <f t="shared" si="58"/>
        <v>1708720</v>
      </c>
      <c r="V540" s="759">
        <f t="shared" si="61"/>
        <v>620720</v>
      </c>
      <c r="W540" s="683" t="s">
        <v>7121</v>
      </c>
    </row>
    <row r="541" spans="1:23" s="660" customFormat="1" ht="47.25" x14ac:dyDescent="0.25">
      <c r="A541" s="651">
        <v>530</v>
      </c>
      <c r="B541" s="652">
        <v>44120</v>
      </c>
      <c r="C541" s="334" t="s">
        <v>6977</v>
      </c>
      <c r="D541" s="334" t="s">
        <v>562</v>
      </c>
      <c r="E541" s="334" t="s">
        <v>3479</v>
      </c>
      <c r="F541" s="653" t="s">
        <v>6978</v>
      </c>
      <c r="G541" s="654" t="s">
        <v>6979</v>
      </c>
      <c r="H541" s="653" t="s">
        <v>6980</v>
      </c>
      <c r="I541" s="651"/>
      <c r="J541" s="655"/>
      <c r="K541" s="659" t="s">
        <v>94</v>
      </c>
      <c r="L541" s="659" t="s">
        <v>777</v>
      </c>
      <c r="M541" s="656">
        <v>1061000</v>
      </c>
      <c r="N541" s="656">
        <v>1277100</v>
      </c>
      <c r="O541" s="651"/>
      <c r="P541" s="652">
        <v>44484</v>
      </c>
      <c r="Q541" s="651"/>
      <c r="R541" s="657">
        <v>0.4</v>
      </c>
      <c r="S541" s="663">
        <f>(M541-3000*36)*40%</f>
        <v>381200</v>
      </c>
      <c r="T541" s="658"/>
      <c r="U541" s="659">
        <f t="shared" si="58"/>
        <v>613180</v>
      </c>
      <c r="V541" s="659">
        <f t="shared" si="61"/>
        <v>231980</v>
      </c>
      <c r="W541" s="651"/>
    </row>
    <row r="542" spans="1:23" s="660" customFormat="1" ht="47.25" x14ac:dyDescent="0.25">
      <c r="A542" s="651">
        <v>531</v>
      </c>
      <c r="B542" s="652">
        <v>44120</v>
      </c>
      <c r="C542" s="334" t="s">
        <v>6981</v>
      </c>
      <c r="D542" s="334" t="s">
        <v>3479</v>
      </c>
      <c r="E542" s="334" t="s">
        <v>3479</v>
      </c>
      <c r="F542" s="653" t="s">
        <v>6982</v>
      </c>
      <c r="G542" s="654" t="s">
        <v>6983</v>
      </c>
      <c r="H542" s="653"/>
      <c r="I542" s="651"/>
      <c r="J542" s="655"/>
      <c r="K542" s="659" t="s">
        <v>94</v>
      </c>
      <c r="L542" s="659" t="s">
        <v>777</v>
      </c>
      <c r="M542" s="656">
        <v>1061000</v>
      </c>
      <c r="N542" s="656">
        <v>1277100</v>
      </c>
      <c r="O542" s="651"/>
      <c r="P542" s="652">
        <v>44484</v>
      </c>
      <c r="Q542" s="651"/>
      <c r="R542" s="657">
        <v>0.4</v>
      </c>
      <c r="S542" s="663">
        <f>(M542-3000*36)*40%</f>
        <v>381200</v>
      </c>
      <c r="T542" s="658"/>
      <c r="U542" s="659">
        <f t="shared" si="58"/>
        <v>613180</v>
      </c>
      <c r="V542" s="659">
        <f t="shared" si="61"/>
        <v>231980</v>
      </c>
      <c r="W542" s="651"/>
    </row>
    <row r="543" spans="1:23" s="769" customFormat="1" ht="47.25" x14ac:dyDescent="0.25">
      <c r="A543" s="659">
        <v>532</v>
      </c>
      <c r="B543" s="661">
        <v>44120</v>
      </c>
      <c r="C543" s="648" t="s">
        <v>7122</v>
      </c>
      <c r="D543" s="648" t="s">
        <v>3622</v>
      </c>
      <c r="E543" s="648" t="s">
        <v>3622</v>
      </c>
      <c r="F543" s="765" t="s">
        <v>7124</v>
      </c>
      <c r="G543" s="648" t="s">
        <v>7123</v>
      </c>
      <c r="H543" s="765"/>
      <c r="I543" s="659"/>
      <c r="J543" s="659"/>
      <c r="K543" s="659" t="s">
        <v>94</v>
      </c>
      <c r="L543" s="659" t="s">
        <v>777</v>
      </c>
      <c r="M543" s="656">
        <v>1161000</v>
      </c>
      <c r="N543" s="656">
        <v>1277100</v>
      </c>
      <c r="O543" s="659"/>
      <c r="P543" s="661">
        <v>44484</v>
      </c>
      <c r="Q543" s="659"/>
      <c r="R543" s="801">
        <v>0.4</v>
      </c>
      <c r="S543" s="663">
        <f>(M543-3000*12)*40%</f>
        <v>450000</v>
      </c>
      <c r="T543" s="768"/>
      <c r="U543" s="659">
        <f t="shared" si="58"/>
        <v>675180</v>
      </c>
      <c r="V543" s="659">
        <f t="shared" si="61"/>
        <v>225180</v>
      </c>
      <c r="W543" s="659"/>
    </row>
    <row r="544" spans="1:23" s="760" customFormat="1" ht="47.25" x14ac:dyDescent="0.25">
      <c r="A544" s="651">
        <v>533</v>
      </c>
      <c r="B544" s="685">
        <v>44123</v>
      </c>
      <c r="C544" s="233" t="s">
        <v>7125</v>
      </c>
      <c r="D544" s="233"/>
      <c r="E544" s="233" t="s">
        <v>3646</v>
      </c>
      <c r="F544" s="757" t="s">
        <v>7127</v>
      </c>
      <c r="G544" s="234" t="s">
        <v>7126</v>
      </c>
      <c r="H544" s="757" t="s">
        <v>7128</v>
      </c>
      <c r="I544" s="683"/>
      <c r="J544" s="682"/>
      <c r="K544" s="682" t="s">
        <v>1430</v>
      </c>
      <c r="L544" s="683" t="s">
        <v>572</v>
      </c>
      <c r="M544" s="684">
        <v>2643000</v>
      </c>
      <c r="N544" s="684">
        <v>2907300</v>
      </c>
      <c r="O544" s="683"/>
      <c r="P544" s="685">
        <v>44123</v>
      </c>
      <c r="Q544" s="683"/>
      <c r="R544" s="770">
        <v>0.4</v>
      </c>
      <c r="S544" s="764">
        <f t="shared" ref="S544:S605" si="62">(M544-3000*36)*40%</f>
        <v>1014000</v>
      </c>
      <c r="T544" s="758"/>
      <c r="U544" s="759">
        <f t="shared" si="58"/>
        <v>1594020</v>
      </c>
      <c r="V544" s="759">
        <f t="shared" si="61"/>
        <v>580020</v>
      </c>
      <c r="W544" s="683" t="s">
        <v>7129</v>
      </c>
    </row>
    <row r="545" spans="1:23" s="769" customFormat="1" ht="47.25" x14ac:dyDescent="0.25">
      <c r="A545" s="659">
        <v>534</v>
      </c>
      <c r="B545" s="661">
        <v>44123</v>
      </c>
      <c r="C545" s="648" t="s">
        <v>7133</v>
      </c>
      <c r="D545" s="648"/>
      <c r="E545" s="648" t="s">
        <v>3646</v>
      </c>
      <c r="F545" s="765" t="s">
        <v>7130</v>
      </c>
      <c r="G545" s="648" t="s">
        <v>7135</v>
      </c>
      <c r="H545" s="765" t="s">
        <v>7134</v>
      </c>
      <c r="I545" s="659"/>
      <c r="J545" s="659"/>
      <c r="K545" s="659" t="s">
        <v>1430</v>
      </c>
      <c r="L545" s="659" t="s">
        <v>572</v>
      </c>
      <c r="M545" s="670">
        <v>2643000</v>
      </c>
      <c r="N545" s="670">
        <v>2907300</v>
      </c>
      <c r="O545" s="659"/>
      <c r="P545" s="661">
        <v>44123</v>
      </c>
      <c r="Q545" s="659"/>
      <c r="R545" s="801">
        <v>0.4</v>
      </c>
      <c r="S545" s="663">
        <f t="shared" si="62"/>
        <v>1014000</v>
      </c>
      <c r="T545" s="768"/>
      <c r="U545" s="659">
        <f t="shared" si="58"/>
        <v>1594020</v>
      </c>
      <c r="V545" s="659">
        <f t="shared" si="61"/>
        <v>580020</v>
      </c>
      <c r="W545" s="659"/>
    </row>
    <row r="546" spans="1:23" s="660" customFormat="1" ht="47.25" x14ac:dyDescent="0.25">
      <c r="A546" s="651">
        <v>535</v>
      </c>
      <c r="B546" s="652">
        <v>44124</v>
      </c>
      <c r="C546" s="334" t="s">
        <v>6505</v>
      </c>
      <c r="D546" s="334" t="s">
        <v>457</v>
      </c>
      <c r="E546" s="334" t="s">
        <v>457</v>
      </c>
      <c r="F546" s="653" t="s">
        <v>7131</v>
      </c>
      <c r="G546" s="654" t="s">
        <v>7132</v>
      </c>
      <c r="H546" s="653"/>
      <c r="I546" s="651"/>
      <c r="J546" s="655"/>
      <c r="K546" s="669" t="s">
        <v>83</v>
      </c>
      <c r="L546" s="662" t="s">
        <v>572</v>
      </c>
      <c r="M546" s="663">
        <v>2828000</v>
      </c>
      <c r="N546" s="663">
        <v>3110800</v>
      </c>
      <c r="O546" s="651"/>
      <c r="P546" s="652">
        <v>45214</v>
      </c>
      <c r="Q546" s="651"/>
      <c r="R546" s="657">
        <v>0.4</v>
      </c>
      <c r="S546" s="663">
        <f t="shared" si="62"/>
        <v>1088000</v>
      </c>
      <c r="T546" s="658"/>
      <c r="U546" s="659">
        <f t="shared" si="58"/>
        <v>1708720</v>
      </c>
      <c r="V546" s="659">
        <f t="shared" si="61"/>
        <v>620720</v>
      </c>
      <c r="W546" s="651"/>
    </row>
    <row r="547" spans="1:23" s="660" customFormat="1" ht="47.25" x14ac:dyDescent="0.25">
      <c r="A547" s="651">
        <v>536</v>
      </c>
      <c r="B547" s="652">
        <v>44124</v>
      </c>
      <c r="C547" s="334" t="s">
        <v>7136</v>
      </c>
      <c r="D547" s="334" t="s">
        <v>7137</v>
      </c>
      <c r="E547" s="334" t="s">
        <v>3479</v>
      </c>
      <c r="F547" s="653" t="s">
        <v>7138</v>
      </c>
      <c r="G547" s="654" t="s">
        <v>7139</v>
      </c>
      <c r="H547" s="653" t="s">
        <v>7140</v>
      </c>
      <c r="I547" s="651"/>
      <c r="J547" s="655"/>
      <c r="K547" s="655" t="s">
        <v>1430</v>
      </c>
      <c r="L547" s="651" t="s">
        <v>572</v>
      </c>
      <c r="M547" s="670">
        <v>2643000</v>
      </c>
      <c r="N547" s="670">
        <v>2907300</v>
      </c>
      <c r="O547" s="651"/>
      <c r="P547" s="652">
        <v>44123</v>
      </c>
      <c r="Q547" s="651"/>
      <c r="R547" s="657">
        <v>0.4</v>
      </c>
      <c r="S547" s="663">
        <f>M547*R547</f>
        <v>1057200</v>
      </c>
      <c r="T547" s="658"/>
      <c r="U547" s="659">
        <f t="shared" si="58"/>
        <v>1594020</v>
      </c>
      <c r="V547" s="659">
        <f t="shared" si="61"/>
        <v>536820</v>
      </c>
      <c r="W547" s="651"/>
    </row>
    <row r="548" spans="1:23" s="660" customFormat="1" ht="47.25" x14ac:dyDescent="0.25">
      <c r="A548" s="651">
        <v>537</v>
      </c>
      <c r="B548" s="652">
        <v>44124</v>
      </c>
      <c r="C548" s="334" t="s">
        <v>7141</v>
      </c>
      <c r="D548" s="334" t="s">
        <v>457</v>
      </c>
      <c r="E548" s="334" t="s">
        <v>457</v>
      </c>
      <c r="F548" s="653" t="s">
        <v>7143</v>
      </c>
      <c r="G548" s="654" t="s">
        <v>7142</v>
      </c>
      <c r="H548" s="653"/>
      <c r="I548" s="651"/>
      <c r="J548" s="655"/>
      <c r="K548" s="655" t="s">
        <v>1430</v>
      </c>
      <c r="L548" s="651" t="s">
        <v>572</v>
      </c>
      <c r="M548" s="670">
        <v>2643000</v>
      </c>
      <c r="N548" s="670">
        <v>2907300</v>
      </c>
      <c r="O548" s="651"/>
      <c r="P548" s="652">
        <v>44123</v>
      </c>
      <c r="Q548" s="651"/>
      <c r="R548" s="657">
        <v>0.4</v>
      </c>
      <c r="S548" s="663">
        <f t="shared" si="62"/>
        <v>1014000</v>
      </c>
      <c r="T548" s="658"/>
      <c r="U548" s="659">
        <f t="shared" si="58"/>
        <v>1594020</v>
      </c>
      <c r="V548" s="659">
        <f t="shared" si="61"/>
        <v>580020</v>
      </c>
      <c r="W548" s="651"/>
    </row>
    <row r="549" spans="1:23" s="805" customFormat="1" ht="47.25" x14ac:dyDescent="0.25">
      <c r="A549" s="759">
        <v>538</v>
      </c>
      <c r="B549" s="802">
        <v>44125</v>
      </c>
      <c r="C549" s="240" t="s">
        <v>7174</v>
      </c>
      <c r="D549" s="240" t="s">
        <v>562</v>
      </c>
      <c r="E549" s="240" t="s">
        <v>3622</v>
      </c>
      <c r="F549" s="803" t="s">
        <v>7173</v>
      </c>
      <c r="G549" s="240" t="s">
        <v>7175</v>
      </c>
      <c r="H549" s="803" t="s">
        <v>7172</v>
      </c>
      <c r="I549" s="759"/>
      <c r="J549" s="759"/>
      <c r="K549" s="759" t="s">
        <v>1430</v>
      </c>
      <c r="L549" s="759" t="s">
        <v>572</v>
      </c>
      <c r="M549" s="684">
        <v>2643000</v>
      </c>
      <c r="N549" s="684">
        <v>2907300</v>
      </c>
      <c r="O549" s="759"/>
      <c r="P549" s="802">
        <v>44123</v>
      </c>
      <c r="Q549" s="759"/>
      <c r="R549" s="808">
        <v>0.4</v>
      </c>
      <c r="S549" s="764">
        <f t="shared" si="62"/>
        <v>1014000</v>
      </c>
      <c r="T549" s="804"/>
      <c r="U549" s="759"/>
      <c r="V549" s="759"/>
      <c r="W549" s="759" t="s">
        <v>7494</v>
      </c>
    </row>
    <row r="550" spans="1:23" s="769" customFormat="1" ht="47.25" x14ac:dyDescent="0.25">
      <c r="A550" s="659">
        <v>539</v>
      </c>
      <c r="B550" s="661">
        <v>44125</v>
      </c>
      <c r="C550" s="648" t="s">
        <v>7170</v>
      </c>
      <c r="D550" s="648" t="s">
        <v>3622</v>
      </c>
      <c r="E550" s="648" t="s">
        <v>3622</v>
      </c>
      <c r="F550" s="765" t="s">
        <v>7169</v>
      </c>
      <c r="G550" s="648" t="s">
        <v>7171</v>
      </c>
      <c r="H550" s="765"/>
      <c r="I550" s="659"/>
      <c r="J550" s="659"/>
      <c r="K550" s="659" t="s">
        <v>94</v>
      </c>
      <c r="L550" s="659" t="s">
        <v>777</v>
      </c>
      <c r="M550" s="656">
        <v>1161000</v>
      </c>
      <c r="N550" s="656">
        <v>1277100</v>
      </c>
      <c r="O550" s="659"/>
      <c r="P550" s="661">
        <v>44484</v>
      </c>
      <c r="Q550" s="659"/>
      <c r="R550" s="801">
        <v>0.4</v>
      </c>
      <c r="S550" s="663">
        <f t="shared" si="62"/>
        <v>421200</v>
      </c>
      <c r="T550" s="768"/>
      <c r="U550" s="659"/>
      <c r="V550" s="659"/>
      <c r="W550" s="659"/>
    </row>
    <row r="551" spans="1:23" s="660" customFormat="1" ht="47.25" x14ac:dyDescent="0.25">
      <c r="A551" s="651">
        <v>540</v>
      </c>
      <c r="B551" s="652">
        <v>44125</v>
      </c>
      <c r="C551" s="334" t="s">
        <v>7144</v>
      </c>
      <c r="D551" s="334" t="s">
        <v>6713</v>
      </c>
      <c r="E551" s="334" t="s">
        <v>3479</v>
      </c>
      <c r="F551" s="653" t="s">
        <v>7145</v>
      </c>
      <c r="G551" s="654" t="s">
        <v>7146</v>
      </c>
      <c r="H551" s="653"/>
      <c r="I551" s="651"/>
      <c r="J551" s="655"/>
      <c r="K551" s="655" t="s">
        <v>1430</v>
      </c>
      <c r="L551" s="651" t="s">
        <v>572</v>
      </c>
      <c r="M551" s="670">
        <v>2643000</v>
      </c>
      <c r="N551" s="670">
        <v>2907300</v>
      </c>
      <c r="O551" s="651"/>
      <c r="P551" s="652">
        <v>44123</v>
      </c>
      <c r="Q551" s="651"/>
      <c r="R551" s="657">
        <v>0.4</v>
      </c>
      <c r="S551" s="663">
        <f t="shared" si="62"/>
        <v>1014000</v>
      </c>
      <c r="T551" s="658"/>
      <c r="U551" s="659">
        <f t="shared" si="58"/>
        <v>1594020</v>
      </c>
      <c r="V551" s="659">
        <f t="shared" si="61"/>
        <v>580020</v>
      </c>
      <c r="W551" s="651"/>
    </row>
    <row r="552" spans="1:23" s="760" customFormat="1" ht="47.25" x14ac:dyDescent="0.25">
      <c r="A552" s="683">
        <v>541</v>
      </c>
      <c r="B552" s="685">
        <v>44126</v>
      </c>
      <c r="C552" s="233" t="s">
        <v>7147</v>
      </c>
      <c r="D552" s="233"/>
      <c r="E552" s="233" t="s">
        <v>3646</v>
      </c>
      <c r="F552" s="757" t="s">
        <v>2102</v>
      </c>
      <c r="G552" s="234" t="s">
        <v>3560</v>
      </c>
      <c r="H552" s="757" t="s">
        <v>7148</v>
      </c>
      <c r="I552" s="683"/>
      <c r="J552" s="682"/>
      <c r="K552" s="759" t="s">
        <v>94</v>
      </c>
      <c r="L552" s="759" t="s">
        <v>777</v>
      </c>
      <c r="M552" s="761">
        <v>1061000</v>
      </c>
      <c r="N552" s="761">
        <v>1277100</v>
      </c>
      <c r="O552" s="683"/>
      <c r="P552" s="685">
        <v>44484</v>
      </c>
      <c r="Q552" s="683"/>
      <c r="R552" s="770">
        <v>0.4</v>
      </c>
      <c r="S552" s="764">
        <f t="shared" si="62"/>
        <v>381200</v>
      </c>
      <c r="T552" s="758"/>
      <c r="U552" s="759">
        <f t="shared" ref="U552:U616" si="63">(M552-3000*24)*0.62</f>
        <v>613180</v>
      </c>
      <c r="V552" s="759">
        <f t="shared" si="61"/>
        <v>231980</v>
      </c>
      <c r="W552" s="683" t="s">
        <v>3877</v>
      </c>
    </row>
    <row r="553" spans="1:23" s="760" customFormat="1" ht="47.25" x14ac:dyDescent="0.25">
      <c r="A553" s="683">
        <v>542</v>
      </c>
      <c r="B553" s="685">
        <v>44126</v>
      </c>
      <c r="C553" s="233" t="s">
        <v>7149</v>
      </c>
      <c r="D553" s="233" t="s">
        <v>3404</v>
      </c>
      <c r="E553" s="233" t="s">
        <v>3479</v>
      </c>
      <c r="F553" s="757" t="s">
        <v>7151</v>
      </c>
      <c r="G553" s="234" t="s">
        <v>7150</v>
      </c>
      <c r="H553" s="757" t="s">
        <v>7152</v>
      </c>
      <c r="I553" s="683"/>
      <c r="J553" s="682"/>
      <c r="K553" s="759" t="s">
        <v>94</v>
      </c>
      <c r="L553" s="759" t="s">
        <v>777</v>
      </c>
      <c r="M553" s="656">
        <v>1161000</v>
      </c>
      <c r="N553" s="761">
        <v>1277100</v>
      </c>
      <c r="O553" s="683"/>
      <c r="P553" s="685">
        <v>44484</v>
      </c>
      <c r="Q553" s="683"/>
      <c r="R553" s="770">
        <v>0.4</v>
      </c>
      <c r="S553" s="663">
        <f>(M553-3000*12)*40%</f>
        <v>450000</v>
      </c>
      <c r="T553" s="758"/>
      <c r="U553" s="759">
        <f t="shared" si="63"/>
        <v>675180</v>
      </c>
      <c r="V553" s="759">
        <f t="shared" si="61"/>
        <v>225180</v>
      </c>
      <c r="W553" s="683" t="s">
        <v>7211</v>
      </c>
    </row>
    <row r="554" spans="1:23" s="760" customFormat="1" ht="63" x14ac:dyDescent="0.25">
      <c r="A554" s="683">
        <v>543</v>
      </c>
      <c r="B554" s="685">
        <v>44127</v>
      </c>
      <c r="C554" s="233" t="s">
        <v>1004</v>
      </c>
      <c r="D554" s="233" t="s">
        <v>3646</v>
      </c>
      <c r="E554" s="233" t="s">
        <v>3479</v>
      </c>
      <c r="F554" s="757" t="s">
        <v>1019</v>
      </c>
      <c r="G554" s="234" t="s">
        <v>7154</v>
      </c>
      <c r="H554" s="757" t="s">
        <v>7153</v>
      </c>
      <c r="I554" s="683"/>
      <c r="J554" s="682"/>
      <c r="K554" s="682" t="s">
        <v>1430</v>
      </c>
      <c r="L554" s="683" t="s">
        <v>572</v>
      </c>
      <c r="M554" s="684">
        <v>2643000</v>
      </c>
      <c r="N554" s="684">
        <v>2907300</v>
      </c>
      <c r="O554" s="683"/>
      <c r="P554" s="685">
        <v>44123</v>
      </c>
      <c r="Q554" s="683"/>
      <c r="R554" s="770">
        <v>0.4</v>
      </c>
      <c r="S554" s="764">
        <f t="shared" ref="S554" si="64">(M554-3000*36)*40%</f>
        <v>1014000</v>
      </c>
      <c r="T554" s="758"/>
      <c r="U554" s="759">
        <f t="shared" si="63"/>
        <v>1594020</v>
      </c>
      <c r="V554" s="759">
        <f t="shared" si="61"/>
        <v>580020</v>
      </c>
      <c r="W554" s="683" t="s">
        <v>3877</v>
      </c>
    </row>
    <row r="555" spans="1:23" s="660" customFormat="1" ht="63" x14ac:dyDescent="0.25">
      <c r="A555" s="651">
        <v>544</v>
      </c>
      <c r="B555" s="652">
        <v>44127</v>
      </c>
      <c r="C555" s="334" t="s">
        <v>7155</v>
      </c>
      <c r="D555" s="334" t="s">
        <v>7084</v>
      </c>
      <c r="E555" s="334" t="s">
        <v>2404</v>
      </c>
      <c r="F555" s="653" t="s">
        <v>7156</v>
      </c>
      <c r="G555" s="654" t="s">
        <v>7157</v>
      </c>
      <c r="H555" s="653"/>
      <c r="I555" s="651"/>
      <c r="J555" s="655"/>
      <c r="K555" s="655" t="s">
        <v>180</v>
      </c>
      <c r="L555" s="651" t="s">
        <v>777</v>
      </c>
      <c r="M555" s="656">
        <v>1161000</v>
      </c>
      <c r="N555" s="656">
        <v>1827100</v>
      </c>
      <c r="O555" s="651"/>
      <c r="P555" s="652">
        <v>44471</v>
      </c>
      <c r="Q555" s="651"/>
      <c r="R555" s="657">
        <v>0.4</v>
      </c>
      <c r="S555" s="663">
        <f t="shared" si="62"/>
        <v>421200</v>
      </c>
      <c r="T555" s="658"/>
      <c r="U555" s="659">
        <f t="shared" si="63"/>
        <v>675180</v>
      </c>
      <c r="V555" s="659">
        <f t="shared" si="61"/>
        <v>253980</v>
      </c>
      <c r="W555" s="651"/>
    </row>
    <row r="556" spans="1:23" s="660" customFormat="1" ht="63" x14ac:dyDescent="0.25">
      <c r="A556" s="651">
        <v>545</v>
      </c>
      <c r="B556" s="652">
        <v>44127</v>
      </c>
      <c r="C556" s="334" t="s">
        <v>7158</v>
      </c>
      <c r="D556" s="334" t="s">
        <v>3479</v>
      </c>
      <c r="E556" s="334" t="s">
        <v>3479</v>
      </c>
      <c r="F556" s="653" t="s">
        <v>5501</v>
      </c>
      <c r="G556" s="654" t="s">
        <v>5500</v>
      </c>
      <c r="H556" s="653"/>
      <c r="I556" s="651"/>
      <c r="J556" s="655"/>
      <c r="K556" s="669" t="s">
        <v>83</v>
      </c>
      <c r="L556" s="662" t="s">
        <v>572</v>
      </c>
      <c r="M556" s="663">
        <v>2828000</v>
      </c>
      <c r="N556" s="663">
        <v>3110800</v>
      </c>
      <c r="O556" s="651"/>
      <c r="P556" s="652">
        <v>45214</v>
      </c>
      <c r="Q556" s="651"/>
      <c r="R556" s="657">
        <v>0.4</v>
      </c>
      <c r="S556" s="663">
        <f t="shared" si="62"/>
        <v>1088000</v>
      </c>
      <c r="T556" s="658"/>
      <c r="U556" s="659">
        <f t="shared" si="63"/>
        <v>1708720</v>
      </c>
      <c r="V556" s="659">
        <f t="shared" si="61"/>
        <v>620720</v>
      </c>
      <c r="W556" s="651"/>
    </row>
    <row r="557" spans="1:23" s="660" customFormat="1" ht="31.5" x14ac:dyDescent="0.25">
      <c r="A557" s="651">
        <v>546</v>
      </c>
      <c r="B557" s="652">
        <v>44127</v>
      </c>
      <c r="C557" s="334" t="s">
        <v>7159</v>
      </c>
      <c r="D557" s="334" t="s">
        <v>3404</v>
      </c>
      <c r="E557" s="334" t="s">
        <v>5693</v>
      </c>
      <c r="F557" s="653" t="s">
        <v>7161</v>
      </c>
      <c r="G557" s="654" t="s">
        <v>7160</v>
      </c>
      <c r="H557" s="653" t="s">
        <v>7162</v>
      </c>
      <c r="I557" s="651"/>
      <c r="J557" s="655"/>
      <c r="K557" s="659" t="s">
        <v>94</v>
      </c>
      <c r="L557" s="659" t="s">
        <v>777</v>
      </c>
      <c r="M557" s="656">
        <v>1161000</v>
      </c>
      <c r="N557" s="656">
        <v>1277100</v>
      </c>
      <c r="O557" s="651"/>
      <c r="P557" s="652">
        <v>44484</v>
      </c>
      <c r="Q557" s="651"/>
      <c r="R557" s="657">
        <v>0.4</v>
      </c>
      <c r="S557" s="663">
        <f>(M557-3000*12)*40%</f>
        <v>450000</v>
      </c>
      <c r="T557" s="658"/>
      <c r="U557" s="659">
        <f t="shared" si="63"/>
        <v>675180</v>
      </c>
      <c r="V557" s="659">
        <f t="shared" si="61"/>
        <v>225180</v>
      </c>
      <c r="W557" s="651"/>
    </row>
    <row r="558" spans="1:23" s="660" customFormat="1" ht="47.25" x14ac:dyDescent="0.25">
      <c r="A558" s="651">
        <v>547</v>
      </c>
      <c r="B558" s="652">
        <v>44127</v>
      </c>
      <c r="C558" s="334" t="s">
        <v>7163</v>
      </c>
      <c r="D558" s="334" t="s">
        <v>474</v>
      </c>
      <c r="E558" s="334" t="s">
        <v>4753</v>
      </c>
      <c r="F558" s="653" t="s">
        <v>7165</v>
      </c>
      <c r="G558" s="654" t="s">
        <v>7164</v>
      </c>
      <c r="H558" s="653"/>
      <c r="I558" s="651"/>
      <c r="J558" s="655"/>
      <c r="K558" s="669" t="s">
        <v>83</v>
      </c>
      <c r="L558" s="662" t="s">
        <v>572</v>
      </c>
      <c r="M558" s="663">
        <v>2828000</v>
      </c>
      <c r="N558" s="663">
        <v>3110800</v>
      </c>
      <c r="O558" s="651"/>
      <c r="P558" s="652">
        <v>45214</v>
      </c>
      <c r="Q558" s="651"/>
      <c r="R558" s="657">
        <v>0.4</v>
      </c>
      <c r="S558" s="663">
        <f t="shared" si="62"/>
        <v>1088000</v>
      </c>
      <c r="T558" s="658"/>
      <c r="U558" s="659">
        <f t="shared" si="63"/>
        <v>1708720</v>
      </c>
      <c r="V558" s="659">
        <f t="shared" si="61"/>
        <v>620720</v>
      </c>
      <c r="W558" s="651"/>
    </row>
    <row r="559" spans="1:23" s="769" customFormat="1" ht="63" x14ac:dyDescent="0.25">
      <c r="A559" s="659">
        <v>548</v>
      </c>
      <c r="B559" s="661">
        <v>44127</v>
      </c>
      <c r="C559" s="648" t="s">
        <v>7166</v>
      </c>
      <c r="D559" s="648" t="s">
        <v>3622</v>
      </c>
      <c r="E559" s="648" t="s">
        <v>3622</v>
      </c>
      <c r="F559" s="765" t="s">
        <v>7167</v>
      </c>
      <c r="G559" s="648" t="s">
        <v>7168</v>
      </c>
      <c r="H559" s="765"/>
      <c r="I559" s="659"/>
      <c r="J559" s="659"/>
      <c r="K559" s="659" t="s">
        <v>1430</v>
      </c>
      <c r="L559" s="659" t="s">
        <v>572</v>
      </c>
      <c r="M559" s="670">
        <v>2643000</v>
      </c>
      <c r="N559" s="670">
        <v>2907300</v>
      </c>
      <c r="O559" s="659"/>
      <c r="P559" s="661">
        <v>44123</v>
      </c>
      <c r="Q559" s="659"/>
      <c r="R559" s="801">
        <v>0.4</v>
      </c>
      <c r="S559" s="663">
        <f>(M559-3000*36)*40%</f>
        <v>1014000</v>
      </c>
      <c r="T559" s="768"/>
      <c r="U559" s="659"/>
      <c r="V559" s="659"/>
      <c r="W559" s="659"/>
    </row>
    <row r="560" spans="1:23" s="769" customFormat="1" ht="47.25" x14ac:dyDescent="0.25">
      <c r="A560" s="659">
        <v>549</v>
      </c>
      <c r="B560" s="661">
        <v>44127</v>
      </c>
      <c r="C560" s="648" t="s">
        <v>7176</v>
      </c>
      <c r="D560" s="648" t="s">
        <v>7209</v>
      </c>
      <c r="E560" s="648" t="s">
        <v>3622</v>
      </c>
      <c r="F560" s="765" t="s">
        <v>7177</v>
      </c>
      <c r="G560" s="648" t="s">
        <v>7178</v>
      </c>
      <c r="H560" s="765" t="s">
        <v>7179</v>
      </c>
      <c r="I560" s="659"/>
      <c r="J560" s="659"/>
      <c r="K560" s="659" t="s">
        <v>1430</v>
      </c>
      <c r="L560" s="806" t="s">
        <v>572</v>
      </c>
      <c r="M560" s="670">
        <v>2643000</v>
      </c>
      <c r="N560" s="670">
        <v>2907300</v>
      </c>
      <c r="O560" s="659"/>
      <c r="P560" s="661">
        <v>44123</v>
      </c>
      <c r="Q560" s="659"/>
      <c r="R560" s="801">
        <v>0.4</v>
      </c>
      <c r="S560" s="663">
        <f t="shared" si="62"/>
        <v>1014000</v>
      </c>
      <c r="T560" s="768"/>
      <c r="U560" s="659">
        <f t="shared" si="63"/>
        <v>1594020</v>
      </c>
      <c r="V560" s="659">
        <f t="shared" si="61"/>
        <v>580020</v>
      </c>
      <c r="W560" s="659"/>
    </row>
    <row r="561" spans="1:23" s="660" customFormat="1" ht="31.5" x14ac:dyDescent="0.25">
      <c r="A561" s="651">
        <v>550</v>
      </c>
      <c r="B561" s="652">
        <v>44128</v>
      </c>
      <c r="C561" s="334" t="s">
        <v>6547</v>
      </c>
      <c r="D561" s="334" t="s">
        <v>5693</v>
      </c>
      <c r="E561" s="334" t="s">
        <v>5693</v>
      </c>
      <c r="F561" s="653" t="s">
        <v>6548</v>
      </c>
      <c r="G561" s="654" t="s">
        <v>7180</v>
      </c>
      <c r="H561" s="653" t="s">
        <v>7181</v>
      </c>
      <c r="I561" s="651" t="s">
        <v>7182</v>
      </c>
      <c r="J561" s="655"/>
      <c r="K561" s="655" t="s">
        <v>180</v>
      </c>
      <c r="L561" s="651" t="s">
        <v>777</v>
      </c>
      <c r="M561" s="656">
        <v>1161000</v>
      </c>
      <c r="N561" s="656">
        <v>1827100</v>
      </c>
      <c r="O561" s="651"/>
      <c r="P561" s="652">
        <v>44471</v>
      </c>
      <c r="Q561" s="651"/>
      <c r="R561" s="657">
        <v>0.4</v>
      </c>
      <c r="S561" s="663">
        <f>(M561-3000*12)*40%</f>
        <v>450000</v>
      </c>
      <c r="T561" s="658"/>
      <c r="U561" s="659">
        <f t="shared" si="63"/>
        <v>675180</v>
      </c>
      <c r="V561" s="659">
        <f t="shared" si="61"/>
        <v>225180</v>
      </c>
      <c r="W561" s="651"/>
    </row>
    <row r="562" spans="1:23" s="760" customFormat="1" ht="31.5" x14ac:dyDescent="0.25">
      <c r="A562" s="683">
        <v>551</v>
      </c>
      <c r="B562" s="685">
        <v>44128</v>
      </c>
      <c r="C562" s="233" t="s">
        <v>7203</v>
      </c>
      <c r="D562" s="233" t="s">
        <v>6941</v>
      </c>
      <c r="E562" s="233" t="s">
        <v>3646</v>
      </c>
      <c r="F562" s="757" t="s">
        <v>7204</v>
      </c>
      <c r="G562" s="234" t="s">
        <v>7205</v>
      </c>
      <c r="H562" s="757" t="s">
        <v>7206</v>
      </c>
      <c r="I562" s="683"/>
      <c r="J562" s="682"/>
      <c r="K562" s="682" t="s">
        <v>1430</v>
      </c>
      <c r="L562" s="683" t="s">
        <v>572</v>
      </c>
      <c r="M562" s="684">
        <v>2643000</v>
      </c>
      <c r="N562" s="684">
        <v>2907300</v>
      </c>
      <c r="O562" s="683"/>
      <c r="P562" s="685">
        <v>44123</v>
      </c>
      <c r="Q562" s="683"/>
      <c r="R562" s="770">
        <v>0.4</v>
      </c>
      <c r="S562" s="764">
        <f t="shared" si="62"/>
        <v>1014000</v>
      </c>
      <c r="T562" s="758"/>
      <c r="U562" s="759">
        <f t="shared" si="63"/>
        <v>1594020</v>
      </c>
      <c r="V562" s="759">
        <f t="shared" si="61"/>
        <v>580020</v>
      </c>
      <c r="W562" s="683" t="s">
        <v>7207</v>
      </c>
    </row>
    <row r="563" spans="1:23" s="660" customFormat="1" ht="47.25" x14ac:dyDescent="0.25">
      <c r="A563" s="651">
        <v>552</v>
      </c>
      <c r="B563" s="652">
        <v>44129</v>
      </c>
      <c r="C563" s="334" t="s">
        <v>5491</v>
      </c>
      <c r="D563" s="334" t="s">
        <v>309</v>
      </c>
      <c r="E563" s="334" t="s">
        <v>3646</v>
      </c>
      <c r="F563" s="653" t="s">
        <v>5490</v>
      </c>
      <c r="G563" s="654" t="s">
        <v>5492</v>
      </c>
      <c r="H563" s="653"/>
      <c r="I563" s="651"/>
      <c r="J563" s="655"/>
      <c r="K563" s="655" t="s">
        <v>1430</v>
      </c>
      <c r="L563" s="651" t="s">
        <v>572</v>
      </c>
      <c r="M563" s="670">
        <v>2643000</v>
      </c>
      <c r="N563" s="670">
        <v>2907300</v>
      </c>
      <c r="O563" s="651"/>
      <c r="P563" s="652">
        <v>44123</v>
      </c>
      <c r="Q563" s="651"/>
      <c r="R563" s="657">
        <v>0.4</v>
      </c>
      <c r="S563" s="663">
        <f t="shared" si="62"/>
        <v>1014000</v>
      </c>
      <c r="T563" s="658"/>
      <c r="U563" s="659">
        <f t="shared" si="63"/>
        <v>1594020</v>
      </c>
      <c r="V563" s="659">
        <f t="shared" si="61"/>
        <v>580020</v>
      </c>
      <c r="W563" s="651"/>
    </row>
    <row r="564" spans="1:23" s="660" customFormat="1" ht="47.25" x14ac:dyDescent="0.25">
      <c r="A564" s="651">
        <v>553</v>
      </c>
      <c r="B564" s="652">
        <v>44129</v>
      </c>
      <c r="C564" s="334" t="s">
        <v>4559</v>
      </c>
      <c r="D564" s="334" t="s">
        <v>309</v>
      </c>
      <c r="E564" s="334" t="s">
        <v>3646</v>
      </c>
      <c r="F564" s="653" t="s">
        <v>4558</v>
      </c>
      <c r="G564" s="654" t="s">
        <v>4560</v>
      </c>
      <c r="H564" s="653"/>
      <c r="I564" s="651"/>
      <c r="J564" s="655"/>
      <c r="K564" s="659" t="s">
        <v>94</v>
      </c>
      <c r="L564" s="659" t="s">
        <v>777</v>
      </c>
      <c r="M564" s="656">
        <v>1061000</v>
      </c>
      <c r="N564" s="656">
        <v>1277100</v>
      </c>
      <c r="O564" s="651"/>
      <c r="P564" s="652">
        <v>44484</v>
      </c>
      <c r="Q564" s="651"/>
      <c r="R564" s="657">
        <v>0.4</v>
      </c>
      <c r="S564" s="663">
        <f t="shared" si="62"/>
        <v>381200</v>
      </c>
      <c r="T564" s="658"/>
      <c r="U564" s="659">
        <f t="shared" si="63"/>
        <v>613180</v>
      </c>
      <c r="V564" s="659">
        <f t="shared" si="61"/>
        <v>231980</v>
      </c>
      <c r="W564" s="651"/>
    </row>
    <row r="565" spans="1:23" s="660" customFormat="1" ht="63" x14ac:dyDescent="0.25">
      <c r="A565" s="651">
        <v>554</v>
      </c>
      <c r="B565" s="652">
        <v>44130</v>
      </c>
      <c r="C565" s="334" t="s">
        <v>7212</v>
      </c>
      <c r="D565" s="334" t="s">
        <v>6713</v>
      </c>
      <c r="E565" s="334" t="s">
        <v>5693</v>
      </c>
      <c r="F565" s="653" t="s">
        <v>7214</v>
      </c>
      <c r="G565" s="654" t="s">
        <v>7213</v>
      </c>
      <c r="H565" s="653"/>
      <c r="I565" s="651"/>
      <c r="J565" s="655"/>
      <c r="K565" s="655" t="s">
        <v>1430</v>
      </c>
      <c r="L565" s="651" t="s">
        <v>572</v>
      </c>
      <c r="M565" s="670">
        <v>2643000</v>
      </c>
      <c r="N565" s="670">
        <v>2907300</v>
      </c>
      <c r="O565" s="651"/>
      <c r="P565" s="652">
        <v>44123</v>
      </c>
      <c r="Q565" s="651"/>
      <c r="R565" s="657">
        <v>0.5</v>
      </c>
      <c r="S565" s="663">
        <f>(M565-3000*36)*50%</f>
        <v>1267500</v>
      </c>
      <c r="T565" s="658"/>
      <c r="U565" s="659">
        <f t="shared" si="63"/>
        <v>1594020</v>
      </c>
      <c r="V565" s="659">
        <f t="shared" si="61"/>
        <v>326520</v>
      </c>
      <c r="W565" s="651"/>
    </row>
    <row r="566" spans="1:23" s="660" customFormat="1" ht="47.25" x14ac:dyDescent="0.25">
      <c r="A566" s="651">
        <v>555</v>
      </c>
      <c r="B566" s="652">
        <v>44130</v>
      </c>
      <c r="C566" s="334" t="s">
        <v>7215</v>
      </c>
      <c r="D566" s="334" t="s">
        <v>309</v>
      </c>
      <c r="E566" s="334" t="s">
        <v>4753</v>
      </c>
      <c r="F566" s="653" t="s">
        <v>7216</v>
      </c>
      <c r="G566" s="654" t="s">
        <v>7217</v>
      </c>
      <c r="H566" s="653"/>
      <c r="I566" s="651"/>
      <c r="J566" s="655"/>
      <c r="K566" s="669" t="s">
        <v>83</v>
      </c>
      <c r="L566" s="662" t="s">
        <v>572</v>
      </c>
      <c r="M566" s="663">
        <v>2828000</v>
      </c>
      <c r="N566" s="663">
        <v>3110800</v>
      </c>
      <c r="O566" s="651"/>
      <c r="P566" s="652">
        <v>45214</v>
      </c>
      <c r="Q566" s="651"/>
      <c r="R566" s="657">
        <v>0.4</v>
      </c>
      <c r="S566" s="663">
        <f t="shared" si="62"/>
        <v>1088000</v>
      </c>
      <c r="T566" s="658"/>
      <c r="U566" s="659">
        <f t="shared" si="63"/>
        <v>1708720</v>
      </c>
      <c r="V566" s="659">
        <f t="shared" si="61"/>
        <v>620720</v>
      </c>
      <c r="W566" s="651"/>
    </row>
    <row r="567" spans="1:23" s="769" customFormat="1" ht="47.25" x14ac:dyDescent="0.25">
      <c r="A567" s="659">
        <v>556</v>
      </c>
      <c r="B567" s="661">
        <v>44130</v>
      </c>
      <c r="C567" s="648" t="s">
        <v>7218</v>
      </c>
      <c r="D567" s="648" t="s">
        <v>562</v>
      </c>
      <c r="E567" s="648" t="s">
        <v>3622</v>
      </c>
      <c r="F567" s="765" t="s">
        <v>7219</v>
      </c>
      <c r="G567" s="648" t="s">
        <v>7220</v>
      </c>
      <c r="H567" s="765" t="s">
        <v>7229</v>
      </c>
      <c r="I567" s="659"/>
      <c r="J567" s="659"/>
      <c r="K567" s="659" t="s">
        <v>1430</v>
      </c>
      <c r="L567" s="659" t="s">
        <v>756</v>
      </c>
      <c r="M567" s="656">
        <v>1992000</v>
      </c>
      <c r="N567" s="656">
        <v>2191200</v>
      </c>
      <c r="O567" s="659"/>
      <c r="P567" s="661">
        <v>44846</v>
      </c>
      <c r="Q567" s="659"/>
      <c r="R567" s="801">
        <v>0.4</v>
      </c>
      <c r="S567" s="663">
        <f>(M567-3000*24)*40%</f>
        <v>768000</v>
      </c>
      <c r="T567" s="768"/>
      <c r="U567" s="659">
        <f t="shared" si="63"/>
        <v>1190400</v>
      </c>
      <c r="V567" s="659">
        <f t="shared" si="61"/>
        <v>422400</v>
      </c>
      <c r="W567" s="659"/>
    </row>
    <row r="568" spans="1:23" s="805" customFormat="1" ht="47.25" x14ac:dyDescent="0.25">
      <c r="A568" s="759">
        <v>557</v>
      </c>
      <c r="B568" s="802">
        <v>44130</v>
      </c>
      <c r="C568" s="240" t="s">
        <v>7221</v>
      </c>
      <c r="D568" s="240"/>
      <c r="E568" s="240" t="s">
        <v>3646</v>
      </c>
      <c r="F568" s="803" t="s">
        <v>7223</v>
      </c>
      <c r="G568" s="240" t="s">
        <v>7222</v>
      </c>
      <c r="H568" s="803" t="s">
        <v>7224</v>
      </c>
      <c r="I568" s="759"/>
      <c r="J568" s="759"/>
      <c r="K568" s="759" t="s">
        <v>1430</v>
      </c>
      <c r="L568" s="759" t="s">
        <v>572</v>
      </c>
      <c r="M568" s="684">
        <v>2643000</v>
      </c>
      <c r="N568" s="684">
        <v>2907300</v>
      </c>
      <c r="O568" s="759"/>
      <c r="P568" s="802">
        <v>44123</v>
      </c>
      <c r="Q568" s="759"/>
      <c r="R568" s="808">
        <v>0.4</v>
      </c>
      <c r="S568" s="764">
        <f t="shared" si="62"/>
        <v>1014000</v>
      </c>
      <c r="T568" s="804"/>
      <c r="U568" s="759">
        <f t="shared" si="63"/>
        <v>1594020</v>
      </c>
      <c r="V568" s="759">
        <f t="shared" si="61"/>
        <v>580020</v>
      </c>
      <c r="W568" s="759" t="s">
        <v>7468</v>
      </c>
    </row>
    <row r="569" spans="1:23" s="769" customFormat="1" ht="47.25" x14ac:dyDescent="0.25">
      <c r="A569" s="659">
        <v>558</v>
      </c>
      <c r="B569" s="661">
        <v>44130</v>
      </c>
      <c r="C569" s="648" t="s">
        <v>7225</v>
      </c>
      <c r="D569" s="648" t="s">
        <v>562</v>
      </c>
      <c r="E569" s="648" t="s">
        <v>3622</v>
      </c>
      <c r="F569" s="765" t="s">
        <v>7226</v>
      </c>
      <c r="G569" s="648" t="s">
        <v>7227</v>
      </c>
      <c r="H569" s="765" t="s">
        <v>7228</v>
      </c>
      <c r="I569" s="659"/>
      <c r="J569" s="659"/>
      <c r="K569" s="659" t="s">
        <v>1430</v>
      </c>
      <c r="L569" s="659" t="s">
        <v>756</v>
      </c>
      <c r="M569" s="656">
        <v>1992000</v>
      </c>
      <c r="N569" s="656">
        <v>2191200</v>
      </c>
      <c r="O569" s="659"/>
      <c r="P569" s="661">
        <v>44846</v>
      </c>
      <c r="Q569" s="659"/>
      <c r="R569" s="801">
        <v>0.4</v>
      </c>
      <c r="S569" s="663">
        <f t="shared" si="62"/>
        <v>753600</v>
      </c>
      <c r="T569" s="768"/>
      <c r="U569" s="659">
        <f t="shared" si="63"/>
        <v>1190400</v>
      </c>
      <c r="V569" s="659">
        <f t="shared" si="61"/>
        <v>436800</v>
      </c>
      <c r="W569" s="659"/>
    </row>
    <row r="570" spans="1:23" s="805" customFormat="1" ht="47.25" x14ac:dyDescent="0.25">
      <c r="A570" s="759">
        <v>559</v>
      </c>
      <c r="B570" s="802">
        <v>44130</v>
      </c>
      <c r="C570" s="240" t="s">
        <v>7230</v>
      </c>
      <c r="D570" s="240" t="s">
        <v>6713</v>
      </c>
      <c r="E570" s="240" t="s">
        <v>3622</v>
      </c>
      <c r="F570" s="803" t="s">
        <v>7231</v>
      </c>
      <c r="G570" s="240" t="s">
        <v>7232</v>
      </c>
      <c r="H570" s="803" t="s">
        <v>7248</v>
      </c>
      <c r="I570" s="807" t="s">
        <v>7233</v>
      </c>
      <c r="J570" s="759"/>
      <c r="K570" s="759" t="s">
        <v>1430</v>
      </c>
      <c r="L570" s="759" t="s">
        <v>572</v>
      </c>
      <c r="M570" s="684">
        <v>2643000</v>
      </c>
      <c r="N570" s="684">
        <v>2907300</v>
      </c>
      <c r="O570" s="759"/>
      <c r="P570" s="802">
        <v>44123</v>
      </c>
      <c r="Q570" s="759"/>
      <c r="R570" s="808">
        <v>0.4</v>
      </c>
      <c r="S570" s="764">
        <f t="shared" si="62"/>
        <v>1014000</v>
      </c>
      <c r="T570" s="804"/>
      <c r="U570" s="759">
        <f t="shared" si="63"/>
        <v>1594020</v>
      </c>
      <c r="V570" s="759">
        <f t="shared" si="61"/>
        <v>580020</v>
      </c>
      <c r="W570" s="759"/>
    </row>
    <row r="571" spans="1:23" s="660" customFormat="1" ht="63" x14ac:dyDescent="0.25">
      <c r="A571" s="651">
        <v>560</v>
      </c>
      <c r="B571" s="652">
        <v>44131</v>
      </c>
      <c r="C571" s="334" t="s">
        <v>7234</v>
      </c>
      <c r="D571" s="334" t="s">
        <v>2404</v>
      </c>
      <c r="E571" s="334" t="s">
        <v>2404</v>
      </c>
      <c r="F571" s="653" t="s">
        <v>7235</v>
      </c>
      <c r="G571" s="654" t="s">
        <v>7236</v>
      </c>
      <c r="H571" s="653"/>
      <c r="I571" s="651"/>
      <c r="J571" s="655"/>
      <c r="K571" s="669" t="s">
        <v>83</v>
      </c>
      <c r="L571" s="662" t="s">
        <v>572</v>
      </c>
      <c r="M571" s="663">
        <v>2828000</v>
      </c>
      <c r="N571" s="663">
        <v>3110800</v>
      </c>
      <c r="O571" s="651"/>
      <c r="P571" s="652">
        <v>45214</v>
      </c>
      <c r="Q571" s="651"/>
      <c r="R571" s="657">
        <v>0.4</v>
      </c>
      <c r="S571" s="663">
        <f t="shared" si="62"/>
        <v>1088000</v>
      </c>
      <c r="T571" s="658"/>
      <c r="U571" s="659">
        <f t="shared" si="63"/>
        <v>1708720</v>
      </c>
      <c r="V571" s="659">
        <f t="shared" si="61"/>
        <v>620720</v>
      </c>
      <c r="W571" s="651"/>
    </row>
    <row r="572" spans="1:23" s="760" customFormat="1" ht="47.25" x14ac:dyDescent="0.25">
      <c r="A572" s="683">
        <v>561</v>
      </c>
      <c r="B572" s="685">
        <v>44131</v>
      </c>
      <c r="C572" s="233" t="s">
        <v>7237</v>
      </c>
      <c r="D572" s="233" t="s">
        <v>4618</v>
      </c>
      <c r="E572" s="233" t="s">
        <v>5693</v>
      </c>
      <c r="F572" s="757" t="s">
        <v>7238</v>
      </c>
      <c r="G572" s="234" t="s">
        <v>7239</v>
      </c>
      <c r="H572" s="757"/>
      <c r="I572" s="683"/>
      <c r="J572" s="682"/>
      <c r="K572" s="682" t="s">
        <v>1430</v>
      </c>
      <c r="L572" s="683" t="s">
        <v>756</v>
      </c>
      <c r="M572" s="761">
        <v>1992000</v>
      </c>
      <c r="N572" s="761">
        <v>2191200</v>
      </c>
      <c r="O572" s="683"/>
      <c r="P572" s="685">
        <v>44846</v>
      </c>
      <c r="Q572" s="683"/>
      <c r="R572" s="770">
        <v>0.4</v>
      </c>
      <c r="S572" s="764">
        <f>M572*R572</f>
        <v>796800</v>
      </c>
      <c r="T572" s="758"/>
      <c r="U572" s="759">
        <f t="shared" si="63"/>
        <v>1190400</v>
      </c>
      <c r="V572" s="759">
        <f t="shared" si="61"/>
        <v>393600</v>
      </c>
      <c r="W572" s="683" t="s">
        <v>7240</v>
      </c>
    </row>
    <row r="573" spans="1:23" s="660" customFormat="1" ht="47.25" x14ac:dyDescent="0.25">
      <c r="A573" s="651">
        <v>562</v>
      </c>
      <c r="B573" s="652">
        <v>44131</v>
      </c>
      <c r="C573" s="334" t="s">
        <v>7241</v>
      </c>
      <c r="D573" s="334" t="s">
        <v>562</v>
      </c>
      <c r="E573" s="334" t="s">
        <v>3646</v>
      </c>
      <c r="F573" s="653" t="s">
        <v>7242</v>
      </c>
      <c r="G573" s="654" t="s">
        <v>7243</v>
      </c>
      <c r="H573" s="653" t="s">
        <v>7244</v>
      </c>
      <c r="I573" s="651"/>
      <c r="J573" s="655"/>
      <c r="K573" s="659" t="s">
        <v>94</v>
      </c>
      <c r="L573" s="659" t="s">
        <v>777</v>
      </c>
      <c r="M573" s="656">
        <v>1061000</v>
      </c>
      <c r="N573" s="656">
        <v>1277100</v>
      </c>
      <c r="O573" s="651"/>
      <c r="P573" s="652">
        <v>44496</v>
      </c>
      <c r="Q573" s="651"/>
      <c r="R573" s="657">
        <v>0.4</v>
      </c>
      <c r="S573" s="663">
        <f t="shared" si="62"/>
        <v>381200</v>
      </c>
      <c r="T573" s="658">
        <v>177100</v>
      </c>
      <c r="U573" s="659">
        <f t="shared" si="63"/>
        <v>613180</v>
      </c>
      <c r="V573" s="659">
        <f t="shared" si="61"/>
        <v>231980</v>
      </c>
      <c r="W573" s="651"/>
    </row>
    <row r="574" spans="1:23" s="760" customFormat="1" ht="47.25" x14ac:dyDescent="0.25">
      <c r="A574" s="683"/>
      <c r="B574" s="685">
        <v>44131</v>
      </c>
      <c r="C574" s="233" t="s">
        <v>7461</v>
      </c>
      <c r="D574" s="233"/>
      <c r="E574" s="233" t="s">
        <v>3646</v>
      </c>
      <c r="F574" s="757" t="s">
        <v>7307</v>
      </c>
      <c r="G574" s="234" t="s">
        <v>7463</v>
      </c>
      <c r="H574" s="757" t="s">
        <v>7462</v>
      </c>
      <c r="I574" s="683"/>
      <c r="J574" s="682"/>
      <c r="K574" s="771" t="s">
        <v>83</v>
      </c>
      <c r="L574" s="772" t="s">
        <v>572</v>
      </c>
      <c r="M574" s="764">
        <v>2828000</v>
      </c>
      <c r="N574" s="764">
        <v>3110800</v>
      </c>
      <c r="O574" s="683"/>
      <c r="P574" s="685">
        <v>45226</v>
      </c>
      <c r="Q574" s="683"/>
      <c r="R574" s="770">
        <v>0.4</v>
      </c>
      <c r="S574" s="764">
        <f t="shared" ref="S574" si="65">(M574-3000*36)*40%</f>
        <v>1088000</v>
      </c>
      <c r="T574" s="758"/>
      <c r="U574" s="759">
        <f t="shared" si="63"/>
        <v>1708720</v>
      </c>
      <c r="V574" s="759">
        <f t="shared" si="61"/>
        <v>620720</v>
      </c>
      <c r="W574" s="683" t="s">
        <v>7469</v>
      </c>
    </row>
    <row r="575" spans="1:23" s="660" customFormat="1" ht="63" x14ac:dyDescent="0.25">
      <c r="A575" s="651">
        <v>563</v>
      </c>
      <c r="B575" s="652">
        <v>44131</v>
      </c>
      <c r="C575" s="334" t="s">
        <v>7245</v>
      </c>
      <c r="D575" s="334" t="s">
        <v>3479</v>
      </c>
      <c r="E575" s="334" t="s">
        <v>3479</v>
      </c>
      <c r="F575" s="653" t="s">
        <v>7246</v>
      </c>
      <c r="G575" s="654" t="s">
        <v>7247</v>
      </c>
      <c r="H575" s="653"/>
      <c r="I575" s="651"/>
      <c r="J575" s="655"/>
      <c r="K575" s="669" t="s">
        <v>83</v>
      </c>
      <c r="L575" s="662" t="s">
        <v>572</v>
      </c>
      <c r="M575" s="663">
        <v>2828000</v>
      </c>
      <c r="N575" s="663">
        <v>3110800</v>
      </c>
      <c r="O575" s="651"/>
      <c r="P575" s="652">
        <v>45226</v>
      </c>
      <c r="Q575" s="651"/>
      <c r="R575" s="657">
        <v>0.4</v>
      </c>
      <c r="S575" s="663">
        <f t="shared" si="62"/>
        <v>1088000</v>
      </c>
      <c r="T575" s="658"/>
      <c r="U575" s="659">
        <f t="shared" si="63"/>
        <v>1708720</v>
      </c>
      <c r="V575" s="659">
        <f t="shared" si="61"/>
        <v>620720</v>
      </c>
      <c r="W575" s="651"/>
    </row>
    <row r="576" spans="1:23" s="660" customFormat="1" ht="47.25" x14ac:dyDescent="0.25">
      <c r="A576" s="651">
        <v>564</v>
      </c>
      <c r="B576" s="652">
        <v>44132</v>
      </c>
      <c r="C576" s="334" t="s">
        <v>7249</v>
      </c>
      <c r="D576" s="334" t="s">
        <v>4753</v>
      </c>
      <c r="E576" s="334" t="s">
        <v>4753</v>
      </c>
      <c r="F576" s="653" t="s">
        <v>7250</v>
      </c>
      <c r="G576" s="654" t="s">
        <v>7251</v>
      </c>
      <c r="H576" s="653"/>
      <c r="I576" s="651"/>
      <c r="J576" s="655"/>
      <c r="K576" s="669" t="s">
        <v>83</v>
      </c>
      <c r="L576" s="662" t="s">
        <v>572</v>
      </c>
      <c r="M576" s="663">
        <v>2828000</v>
      </c>
      <c r="N576" s="663">
        <v>3110800</v>
      </c>
      <c r="O576" s="651"/>
      <c r="P576" s="652">
        <v>45227</v>
      </c>
      <c r="Q576" s="651"/>
      <c r="R576" s="657">
        <v>0.4</v>
      </c>
      <c r="S576" s="663">
        <f t="shared" ref="S576" si="66">(M576-3000*36)*40%</f>
        <v>1088000</v>
      </c>
      <c r="T576" s="658"/>
      <c r="U576" s="659">
        <f t="shared" si="63"/>
        <v>1708720</v>
      </c>
      <c r="V576" s="659">
        <f t="shared" si="61"/>
        <v>620720</v>
      </c>
      <c r="W576" s="651"/>
    </row>
    <row r="577" spans="1:23" s="760" customFormat="1" ht="47.25" x14ac:dyDescent="0.25">
      <c r="A577" s="683">
        <v>565</v>
      </c>
      <c r="B577" s="685">
        <v>44132</v>
      </c>
      <c r="C577" s="233" t="s">
        <v>7252</v>
      </c>
      <c r="D577" s="233"/>
      <c r="E577" s="233" t="s">
        <v>3479</v>
      </c>
      <c r="F577" s="757" t="s">
        <v>7253</v>
      </c>
      <c r="G577" s="234" t="s">
        <v>7254</v>
      </c>
      <c r="H577" s="757" t="s">
        <v>7255</v>
      </c>
      <c r="I577" s="683" t="s">
        <v>7256</v>
      </c>
      <c r="J577" s="682"/>
      <c r="K577" s="682" t="s">
        <v>1430</v>
      </c>
      <c r="L577" s="683" t="s">
        <v>777</v>
      </c>
      <c r="M577" s="761">
        <v>1161000</v>
      </c>
      <c r="N577" s="761">
        <v>1277100</v>
      </c>
      <c r="O577" s="683"/>
      <c r="P577" s="685">
        <v>44862</v>
      </c>
      <c r="Q577" s="683"/>
      <c r="R577" s="770">
        <v>0.4</v>
      </c>
      <c r="S577" s="764">
        <f>(M577-3000*12)*40%</f>
        <v>450000</v>
      </c>
      <c r="T577" s="758">
        <f>N577-S577</f>
        <v>827100</v>
      </c>
      <c r="U577" s="759">
        <f t="shared" si="63"/>
        <v>675180</v>
      </c>
      <c r="V577" s="759">
        <f t="shared" si="61"/>
        <v>225180</v>
      </c>
      <c r="W577" s="683" t="s">
        <v>7457</v>
      </c>
    </row>
    <row r="578" spans="1:23" s="660" customFormat="1" ht="31.5" x14ac:dyDescent="0.25">
      <c r="A578" s="651">
        <v>566</v>
      </c>
      <c r="B578" s="652">
        <v>44132</v>
      </c>
      <c r="C578" s="334" t="s">
        <v>7257</v>
      </c>
      <c r="D578" s="334" t="s">
        <v>562</v>
      </c>
      <c r="E578" s="334" t="s">
        <v>3479</v>
      </c>
      <c r="F578" s="653" t="s">
        <v>7258</v>
      </c>
      <c r="G578" s="654" t="s">
        <v>7259</v>
      </c>
      <c r="H578" s="653" t="s">
        <v>7260</v>
      </c>
      <c r="I578" s="651"/>
      <c r="J578" s="655"/>
      <c r="K578" s="659" t="s">
        <v>94</v>
      </c>
      <c r="L578" s="659" t="s">
        <v>777</v>
      </c>
      <c r="M578" s="656">
        <v>1161000</v>
      </c>
      <c r="N578" s="656">
        <v>1277100</v>
      </c>
      <c r="O578" s="651"/>
      <c r="P578" s="652">
        <v>44496</v>
      </c>
      <c r="Q578" s="651"/>
      <c r="R578" s="657">
        <v>0.4</v>
      </c>
      <c r="S578" s="663">
        <f t="shared" si="62"/>
        <v>421200</v>
      </c>
      <c r="T578" s="658"/>
      <c r="U578" s="659">
        <f t="shared" si="63"/>
        <v>675180</v>
      </c>
      <c r="V578" s="659">
        <f t="shared" si="61"/>
        <v>253980</v>
      </c>
      <c r="W578" s="651"/>
    </row>
    <row r="579" spans="1:23" s="660" customFormat="1" ht="47.25" x14ac:dyDescent="0.25">
      <c r="A579" s="651">
        <v>567</v>
      </c>
      <c r="B579" s="652">
        <v>44132</v>
      </c>
      <c r="C579" s="334" t="s">
        <v>7261</v>
      </c>
      <c r="D579" s="334" t="s">
        <v>6713</v>
      </c>
      <c r="E579" s="334" t="s">
        <v>3479</v>
      </c>
      <c r="F579" s="653" t="s">
        <v>7262</v>
      </c>
      <c r="G579" s="654" t="s">
        <v>7263</v>
      </c>
      <c r="H579" s="653" t="s">
        <v>7264</v>
      </c>
      <c r="I579" s="651"/>
      <c r="J579" s="655"/>
      <c r="K579" s="655" t="s">
        <v>1430</v>
      </c>
      <c r="L579" s="651" t="s">
        <v>572</v>
      </c>
      <c r="M579" s="670">
        <v>2643000</v>
      </c>
      <c r="N579" s="670">
        <v>2907300</v>
      </c>
      <c r="O579" s="651"/>
      <c r="P579" s="652">
        <v>44123</v>
      </c>
      <c r="Q579" s="651"/>
      <c r="R579" s="657">
        <v>0.5</v>
      </c>
      <c r="S579" s="663">
        <f>(M579-3000*36)*50%</f>
        <v>1267500</v>
      </c>
      <c r="T579" s="658"/>
      <c r="U579" s="659">
        <f t="shared" si="63"/>
        <v>1594020</v>
      </c>
      <c r="V579" s="659">
        <f t="shared" si="61"/>
        <v>326520</v>
      </c>
      <c r="W579" s="651"/>
    </row>
    <row r="580" spans="1:23" s="660" customFormat="1" ht="63" x14ac:dyDescent="0.25">
      <c r="A580" s="651">
        <v>568</v>
      </c>
      <c r="B580" s="652">
        <v>44132</v>
      </c>
      <c r="C580" s="334" t="s">
        <v>7265</v>
      </c>
      <c r="D580" s="334" t="s">
        <v>457</v>
      </c>
      <c r="E580" s="334" t="s">
        <v>5693</v>
      </c>
      <c r="F580" s="653" t="s">
        <v>7266</v>
      </c>
      <c r="G580" s="654" t="s">
        <v>7267</v>
      </c>
      <c r="H580" s="653"/>
      <c r="I580" s="651"/>
      <c r="J580" s="655"/>
      <c r="K580" s="659" t="s">
        <v>94</v>
      </c>
      <c r="L580" s="659" t="s">
        <v>777</v>
      </c>
      <c r="M580" s="656">
        <v>1061000</v>
      </c>
      <c r="N580" s="656">
        <v>1277100</v>
      </c>
      <c r="O580" s="651"/>
      <c r="P580" s="652">
        <v>44496</v>
      </c>
      <c r="Q580" s="651"/>
      <c r="R580" s="657">
        <v>0.4</v>
      </c>
      <c r="S580" s="663">
        <f>(M580-3000*12)*40%</f>
        <v>410000</v>
      </c>
      <c r="T580" s="658"/>
      <c r="U580" s="659">
        <f t="shared" si="63"/>
        <v>613180</v>
      </c>
      <c r="V580" s="659">
        <f t="shared" si="61"/>
        <v>203180</v>
      </c>
      <c r="W580" s="651"/>
    </row>
    <row r="581" spans="1:23" s="816" customFormat="1" ht="47.25" x14ac:dyDescent="0.25">
      <c r="A581" s="655">
        <v>569</v>
      </c>
      <c r="B581" s="809">
        <v>44132</v>
      </c>
      <c r="C581" s="654" t="s">
        <v>7268</v>
      </c>
      <c r="D581" s="654" t="s">
        <v>3622</v>
      </c>
      <c r="E581" s="654" t="s">
        <v>3622</v>
      </c>
      <c r="F581" s="810" t="s">
        <v>7270</v>
      </c>
      <c r="G581" s="654" t="s">
        <v>7269</v>
      </c>
      <c r="H581" s="810"/>
      <c r="I581" s="655"/>
      <c r="J581" s="655"/>
      <c r="K581" s="655" t="s">
        <v>1430</v>
      </c>
      <c r="L581" s="655" t="s">
        <v>756</v>
      </c>
      <c r="M581" s="817">
        <v>1992000</v>
      </c>
      <c r="N581" s="817">
        <v>2191200</v>
      </c>
      <c r="O581" s="655"/>
      <c r="P581" s="809">
        <v>44862</v>
      </c>
      <c r="Q581" s="655"/>
      <c r="R581" s="813">
        <v>0.4</v>
      </c>
      <c r="S581" s="814">
        <f t="shared" si="62"/>
        <v>753600</v>
      </c>
      <c r="T581" s="815"/>
      <c r="U581" s="655">
        <f t="shared" si="63"/>
        <v>1190400</v>
      </c>
      <c r="V581" s="655">
        <f t="shared" si="61"/>
        <v>436800</v>
      </c>
      <c r="W581" s="655"/>
    </row>
    <row r="582" spans="1:23" s="660" customFormat="1" ht="47.25" x14ac:dyDescent="0.25">
      <c r="A582" s="651">
        <v>570</v>
      </c>
      <c r="B582" s="652">
        <v>44133</v>
      </c>
      <c r="C582" s="334" t="s">
        <v>7315</v>
      </c>
      <c r="D582" s="334" t="s">
        <v>562</v>
      </c>
      <c r="E582" s="334" t="s">
        <v>3479</v>
      </c>
      <c r="F582" s="653" t="s">
        <v>7317</v>
      </c>
      <c r="G582" s="654" t="s">
        <v>7316</v>
      </c>
      <c r="H582" s="653" t="s">
        <v>7318</v>
      </c>
      <c r="I582" s="651"/>
      <c r="J582" s="655"/>
      <c r="K582" s="659" t="s">
        <v>94</v>
      </c>
      <c r="L582" s="659" t="s">
        <v>777</v>
      </c>
      <c r="M582" s="656">
        <v>1061000</v>
      </c>
      <c r="N582" s="656">
        <v>1277100</v>
      </c>
      <c r="O582" s="651"/>
      <c r="P582" s="652">
        <v>44498</v>
      </c>
      <c r="Q582" s="651"/>
      <c r="R582" s="657">
        <v>0.4</v>
      </c>
      <c r="S582" s="663">
        <f>(M582-3000*12)*40%</f>
        <v>410000</v>
      </c>
      <c r="T582" s="658"/>
      <c r="U582" s="659">
        <f t="shared" si="63"/>
        <v>613180</v>
      </c>
      <c r="V582" s="659">
        <f t="shared" si="61"/>
        <v>203180</v>
      </c>
      <c r="W582" s="651"/>
    </row>
    <row r="583" spans="1:23" s="769" customFormat="1" ht="47.25" x14ac:dyDescent="0.25">
      <c r="A583" s="659">
        <v>571</v>
      </c>
      <c r="B583" s="661">
        <v>44133</v>
      </c>
      <c r="C583" s="648" t="s">
        <v>7319</v>
      </c>
      <c r="D583" s="648" t="s">
        <v>562</v>
      </c>
      <c r="E583" s="648" t="s">
        <v>3622</v>
      </c>
      <c r="F583" s="765" t="s">
        <v>7321</v>
      </c>
      <c r="G583" s="648" t="s">
        <v>7320</v>
      </c>
      <c r="H583" s="765" t="s">
        <v>7322</v>
      </c>
      <c r="I583" s="659"/>
      <c r="J583" s="659"/>
      <c r="K583" s="659" t="s">
        <v>1430</v>
      </c>
      <c r="L583" s="659" t="s">
        <v>572</v>
      </c>
      <c r="M583" s="670">
        <v>2643000</v>
      </c>
      <c r="N583" s="670">
        <v>2907300</v>
      </c>
      <c r="O583" s="659"/>
      <c r="P583" s="661">
        <v>44133</v>
      </c>
      <c r="Q583" s="659"/>
      <c r="R583" s="801">
        <v>0.4</v>
      </c>
      <c r="S583" s="663">
        <f t="shared" si="62"/>
        <v>1014000</v>
      </c>
      <c r="T583" s="768"/>
      <c r="U583" s="659">
        <f t="shared" si="63"/>
        <v>1594020</v>
      </c>
      <c r="V583" s="659">
        <f t="shared" si="61"/>
        <v>580020</v>
      </c>
      <c r="W583" s="659"/>
    </row>
    <row r="584" spans="1:23" s="769" customFormat="1" ht="47.25" x14ac:dyDescent="0.25">
      <c r="A584" s="659">
        <v>572</v>
      </c>
      <c r="B584" s="661">
        <v>44133</v>
      </c>
      <c r="C584" s="648" t="s">
        <v>7323</v>
      </c>
      <c r="D584" s="648" t="s">
        <v>7209</v>
      </c>
      <c r="E584" s="648" t="s">
        <v>3622</v>
      </c>
      <c r="F584" s="765" t="s">
        <v>7324</v>
      </c>
      <c r="G584" s="648" t="s">
        <v>7325</v>
      </c>
      <c r="H584" s="765" t="s">
        <v>7326</v>
      </c>
      <c r="I584" s="659"/>
      <c r="J584" s="659"/>
      <c r="K584" s="659" t="s">
        <v>94</v>
      </c>
      <c r="L584" s="659" t="s">
        <v>777</v>
      </c>
      <c r="M584" s="656">
        <v>1061000</v>
      </c>
      <c r="N584" s="656">
        <v>1277100</v>
      </c>
      <c r="O584" s="659"/>
      <c r="P584" s="661">
        <v>44498</v>
      </c>
      <c r="Q584" s="659"/>
      <c r="R584" s="801">
        <v>0.4</v>
      </c>
      <c r="S584" s="663">
        <f>(M584-3000*12)*40%</f>
        <v>410000</v>
      </c>
      <c r="T584" s="768">
        <v>177100</v>
      </c>
      <c r="U584" s="659">
        <f t="shared" si="63"/>
        <v>613180</v>
      </c>
      <c r="V584" s="659">
        <f t="shared" si="61"/>
        <v>203180</v>
      </c>
      <c r="W584" s="659"/>
    </row>
    <row r="585" spans="1:23" s="660" customFormat="1" ht="47.25" x14ac:dyDescent="0.25">
      <c r="A585" s="651">
        <v>573</v>
      </c>
      <c r="B585" s="652">
        <v>44133</v>
      </c>
      <c r="C585" s="334" t="s">
        <v>7327</v>
      </c>
      <c r="D585" s="334" t="s">
        <v>3479</v>
      </c>
      <c r="E585" s="334" t="s">
        <v>3479</v>
      </c>
      <c r="F585" s="653" t="s">
        <v>7328</v>
      </c>
      <c r="G585" s="654" t="s">
        <v>7329</v>
      </c>
      <c r="H585" s="653"/>
      <c r="I585" s="651"/>
      <c r="J585" s="655"/>
      <c r="K585" s="669" t="s">
        <v>83</v>
      </c>
      <c r="L585" s="662" t="s">
        <v>572</v>
      </c>
      <c r="M585" s="663">
        <v>2828000</v>
      </c>
      <c r="N585" s="663">
        <v>3110800</v>
      </c>
      <c r="O585" s="651"/>
      <c r="P585" s="652">
        <v>45226</v>
      </c>
      <c r="Q585" s="651"/>
      <c r="R585" s="657">
        <v>0.4</v>
      </c>
      <c r="S585" s="663">
        <f t="shared" ref="S585:S586" si="67">(M585-3000*36)*40%</f>
        <v>1088000</v>
      </c>
      <c r="T585" s="658"/>
      <c r="U585" s="659">
        <f t="shared" si="63"/>
        <v>1708720</v>
      </c>
      <c r="V585" s="659">
        <f t="shared" si="61"/>
        <v>620720</v>
      </c>
      <c r="W585" s="651"/>
    </row>
    <row r="586" spans="1:23" s="760" customFormat="1" ht="47.25" x14ac:dyDescent="0.25">
      <c r="A586" s="683">
        <v>574</v>
      </c>
      <c r="B586" s="685">
        <v>44133</v>
      </c>
      <c r="C586" s="233" t="s">
        <v>7333</v>
      </c>
      <c r="D586" s="233" t="s">
        <v>562</v>
      </c>
      <c r="E586" s="233" t="s">
        <v>3646</v>
      </c>
      <c r="F586" s="757" t="s">
        <v>7330</v>
      </c>
      <c r="G586" s="234" t="s">
        <v>7331</v>
      </c>
      <c r="H586" s="757" t="s">
        <v>7332</v>
      </c>
      <c r="I586" s="683"/>
      <c r="J586" s="682"/>
      <c r="K586" s="682" t="s">
        <v>1430</v>
      </c>
      <c r="L586" s="683" t="s">
        <v>572</v>
      </c>
      <c r="M586" s="684">
        <v>2643000</v>
      </c>
      <c r="N586" s="684">
        <v>2907300</v>
      </c>
      <c r="O586" s="683"/>
      <c r="P586" s="685">
        <v>44133</v>
      </c>
      <c r="Q586" s="683"/>
      <c r="R586" s="770">
        <v>0.4</v>
      </c>
      <c r="S586" s="764">
        <f t="shared" si="67"/>
        <v>1014000</v>
      </c>
      <c r="T586" s="758"/>
      <c r="U586" s="759">
        <f t="shared" si="63"/>
        <v>1594020</v>
      </c>
      <c r="V586" s="759">
        <f t="shared" si="61"/>
        <v>580020</v>
      </c>
      <c r="W586" s="683" t="s">
        <v>7440</v>
      </c>
    </row>
    <row r="587" spans="1:23" s="760" customFormat="1" ht="47.25" x14ac:dyDescent="0.25">
      <c r="A587" s="683">
        <v>575</v>
      </c>
      <c r="B587" s="685">
        <v>44133</v>
      </c>
      <c r="C587" s="233" t="s">
        <v>7334</v>
      </c>
      <c r="D587" s="233" t="s">
        <v>562</v>
      </c>
      <c r="E587" s="233" t="s">
        <v>5768</v>
      </c>
      <c r="F587" s="757" t="s">
        <v>7335</v>
      </c>
      <c r="G587" s="234" t="s">
        <v>7336</v>
      </c>
      <c r="H587" s="757" t="s">
        <v>7337</v>
      </c>
      <c r="I587" s="683"/>
      <c r="J587" s="682"/>
      <c r="K587" s="682" t="s">
        <v>1430</v>
      </c>
      <c r="L587" s="683" t="s">
        <v>572</v>
      </c>
      <c r="M587" s="684">
        <v>2643000</v>
      </c>
      <c r="N587" s="684">
        <v>2907300</v>
      </c>
      <c r="O587" s="683"/>
      <c r="P587" s="685">
        <v>44133</v>
      </c>
      <c r="Q587" s="683"/>
      <c r="R587" s="770">
        <v>0.4</v>
      </c>
      <c r="S587" s="764">
        <f t="shared" si="62"/>
        <v>1014000</v>
      </c>
      <c r="T587" s="758"/>
      <c r="U587" s="759">
        <f t="shared" si="63"/>
        <v>1594020</v>
      </c>
      <c r="V587" s="759">
        <f t="shared" si="61"/>
        <v>580020</v>
      </c>
      <c r="W587" s="683" t="s">
        <v>7344</v>
      </c>
    </row>
    <row r="588" spans="1:23" s="769" customFormat="1" ht="47.25" x14ac:dyDescent="0.25">
      <c r="A588" s="659">
        <v>576</v>
      </c>
      <c r="B588" s="661">
        <v>44133</v>
      </c>
      <c r="C588" s="648" t="s">
        <v>7338</v>
      </c>
      <c r="D588" s="648" t="s">
        <v>3622</v>
      </c>
      <c r="E588" s="648" t="s">
        <v>3622</v>
      </c>
      <c r="F588" s="765" t="s">
        <v>7340</v>
      </c>
      <c r="G588" s="648" t="s">
        <v>7339</v>
      </c>
      <c r="H588" s="765"/>
      <c r="I588" s="659"/>
      <c r="J588" s="659"/>
      <c r="K588" s="659" t="s">
        <v>94</v>
      </c>
      <c r="L588" s="659" t="s">
        <v>777</v>
      </c>
      <c r="M588" s="656">
        <v>1161000</v>
      </c>
      <c r="N588" s="656">
        <v>1277100</v>
      </c>
      <c r="O588" s="659"/>
      <c r="P588" s="661">
        <v>44498</v>
      </c>
      <c r="Q588" s="659"/>
      <c r="R588" s="801">
        <v>0.4</v>
      </c>
      <c r="S588" s="663">
        <f>(M588-3000*12)*40%</f>
        <v>450000</v>
      </c>
      <c r="T588" s="768"/>
      <c r="U588" s="659">
        <f t="shared" si="63"/>
        <v>675180</v>
      </c>
      <c r="V588" s="659">
        <f t="shared" si="61"/>
        <v>225180</v>
      </c>
      <c r="W588" s="659"/>
    </row>
    <row r="589" spans="1:23" s="660" customFormat="1" ht="63" x14ac:dyDescent="0.25">
      <c r="A589" s="651">
        <v>577</v>
      </c>
      <c r="B589" s="652">
        <v>44133</v>
      </c>
      <c r="C589" s="334" t="s">
        <v>5471</v>
      </c>
      <c r="D589" s="334" t="s">
        <v>1279</v>
      </c>
      <c r="E589" s="334" t="s">
        <v>3479</v>
      </c>
      <c r="F589" s="653" t="s">
        <v>5472</v>
      </c>
      <c r="G589" s="654" t="s">
        <v>5473</v>
      </c>
      <c r="H589" s="653"/>
      <c r="I589" s="651"/>
      <c r="J589" s="655"/>
      <c r="K589" s="669" t="s">
        <v>83</v>
      </c>
      <c r="L589" s="662" t="s">
        <v>572</v>
      </c>
      <c r="M589" s="663">
        <v>2828000</v>
      </c>
      <c r="N589" s="663">
        <v>3110800</v>
      </c>
      <c r="O589" s="651"/>
      <c r="P589" s="652">
        <v>45228</v>
      </c>
      <c r="Q589" s="651"/>
      <c r="R589" s="657">
        <v>0.4</v>
      </c>
      <c r="S589" s="663">
        <f t="shared" ref="S589" si="68">(M589-3000*36)*40%</f>
        <v>1088000</v>
      </c>
      <c r="T589" s="658"/>
      <c r="U589" s="659">
        <f t="shared" si="63"/>
        <v>1708720</v>
      </c>
      <c r="V589" s="659">
        <f t="shared" si="61"/>
        <v>620720</v>
      </c>
      <c r="W589" s="651"/>
    </row>
    <row r="590" spans="1:23" s="760" customFormat="1" ht="31.5" x14ac:dyDescent="0.25">
      <c r="A590" s="683"/>
      <c r="B590" s="685">
        <v>44133</v>
      </c>
      <c r="C590" s="233" t="s">
        <v>7458</v>
      </c>
      <c r="D590" s="233" t="s">
        <v>562</v>
      </c>
      <c r="E590" s="233" t="s">
        <v>3646</v>
      </c>
      <c r="F590" s="757" t="s">
        <v>7459</v>
      </c>
      <c r="G590" s="234"/>
      <c r="H590" s="757"/>
      <c r="I590" s="683"/>
      <c r="J590" s="682"/>
      <c r="K590" s="759" t="s">
        <v>94</v>
      </c>
      <c r="L590" s="759" t="s">
        <v>777</v>
      </c>
      <c r="M590" s="761">
        <v>1161000</v>
      </c>
      <c r="N590" s="761">
        <v>1277100</v>
      </c>
      <c r="O590" s="759"/>
      <c r="P590" s="802">
        <v>44498</v>
      </c>
      <c r="Q590" s="759"/>
      <c r="R590" s="808">
        <v>0.4</v>
      </c>
      <c r="S590" s="764">
        <f>(M590-3000*12)*40%</f>
        <v>450000</v>
      </c>
      <c r="T590" s="758">
        <v>177000</v>
      </c>
      <c r="U590" s="759"/>
      <c r="V590" s="759"/>
      <c r="W590" s="683" t="s">
        <v>7460</v>
      </c>
    </row>
    <row r="591" spans="1:23" s="660" customFormat="1" ht="47.25" x14ac:dyDescent="0.25">
      <c r="A591" s="651">
        <v>578</v>
      </c>
      <c r="B591" s="652">
        <v>44133</v>
      </c>
      <c r="C591" s="334" t="s">
        <v>7341</v>
      </c>
      <c r="D591" s="334" t="s">
        <v>309</v>
      </c>
      <c r="E591" s="334" t="s">
        <v>3479</v>
      </c>
      <c r="F591" s="653" t="s">
        <v>7343</v>
      </c>
      <c r="G591" s="654" t="s">
        <v>7342</v>
      </c>
      <c r="H591" s="653"/>
      <c r="I591" s="651"/>
      <c r="J591" s="655"/>
      <c r="K591" s="659" t="s">
        <v>94</v>
      </c>
      <c r="L591" s="659" t="s">
        <v>777</v>
      </c>
      <c r="M591" s="656">
        <v>1061000</v>
      </c>
      <c r="N591" s="656">
        <v>1277100</v>
      </c>
      <c r="O591" s="651"/>
      <c r="P591" s="652">
        <v>44498</v>
      </c>
      <c r="Q591" s="651"/>
      <c r="R591" s="651"/>
      <c r="S591" s="663">
        <f>(M591-3000*12)*40%</f>
        <v>410000</v>
      </c>
      <c r="T591" s="658"/>
      <c r="U591" s="659">
        <f t="shared" si="63"/>
        <v>613180</v>
      </c>
      <c r="V591" s="659">
        <f t="shared" si="61"/>
        <v>203180</v>
      </c>
      <c r="W591" s="651"/>
    </row>
    <row r="592" spans="1:23" s="660" customFormat="1" ht="63" x14ac:dyDescent="0.25">
      <c r="A592" s="651">
        <v>579</v>
      </c>
      <c r="B592" s="652">
        <v>44134</v>
      </c>
      <c r="C592" s="334" t="s">
        <v>7345</v>
      </c>
      <c r="D592" s="334" t="s">
        <v>457</v>
      </c>
      <c r="E592" s="334" t="s">
        <v>457</v>
      </c>
      <c r="F592" s="653" t="s">
        <v>6509</v>
      </c>
      <c r="G592" s="654" t="s">
        <v>6510</v>
      </c>
      <c r="H592" s="653"/>
      <c r="I592" s="651"/>
      <c r="J592" s="655"/>
      <c r="K592" s="669" t="s">
        <v>83</v>
      </c>
      <c r="L592" s="662" t="s">
        <v>572</v>
      </c>
      <c r="M592" s="663">
        <v>2828000</v>
      </c>
      <c r="N592" s="663">
        <v>3110800</v>
      </c>
      <c r="O592" s="651"/>
      <c r="P592" s="652">
        <v>45228</v>
      </c>
      <c r="Q592" s="651"/>
      <c r="R592" s="657">
        <v>0.4</v>
      </c>
      <c r="S592" s="663">
        <f t="shared" ref="S592" si="69">(M592-3000*36)*40%</f>
        <v>1088000</v>
      </c>
      <c r="T592" s="658"/>
      <c r="U592" s="659">
        <f t="shared" si="63"/>
        <v>1708720</v>
      </c>
      <c r="V592" s="659">
        <f t="shared" si="61"/>
        <v>620720</v>
      </c>
      <c r="W592" s="651"/>
    </row>
    <row r="593" spans="1:23" s="660" customFormat="1" ht="47.25" x14ac:dyDescent="0.25">
      <c r="A593" s="651">
        <v>580</v>
      </c>
      <c r="B593" s="652">
        <v>44134</v>
      </c>
      <c r="C593" s="334" t="s">
        <v>7346</v>
      </c>
      <c r="D593" s="334" t="s">
        <v>562</v>
      </c>
      <c r="E593" s="334" t="s">
        <v>3479</v>
      </c>
      <c r="F593" s="653" t="s">
        <v>7348</v>
      </c>
      <c r="G593" s="654" t="s">
        <v>7347</v>
      </c>
      <c r="H593" s="653" t="s">
        <v>7349</v>
      </c>
      <c r="I593" s="651"/>
      <c r="J593" s="655"/>
      <c r="K593" s="655" t="s">
        <v>83</v>
      </c>
      <c r="L593" s="655" t="s">
        <v>103</v>
      </c>
      <c r="M593" s="656">
        <v>1992000</v>
      </c>
      <c r="N593" s="656">
        <v>2741200</v>
      </c>
      <c r="O593" s="652">
        <v>44640</v>
      </c>
      <c r="P593" s="652">
        <v>44864</v>
      </c>
      <c r="Q593" s="651"/>
      <c r="R593" s="657">
        <v>0.4</v>
      </c>
      <c r="S593" s="663">
        <f t="shared" si="62"/>
        <v>753600</v>
      </c>
      <c r="T593" s="658" t="s">
        <v>7350</v>
      </c>
      <c r="U593" s="659">
        <f t="shared" si="63"/>
        <v>1190400</v>
      </c>
      <c r="V593" s="659">
        <f t="shared" si="61"/>
        <v>436800</v>
      </c>
      <c r="W593" s="651"/>
    </row>
    <row r="594" spans="1:23" s="760" customFormat="1" ht="47.25" x14ac:dyDescent="0.25">
      <c r="A594" s="683">
        <v>581</v>
      </c>
      <c r="B594" s="685">
        <v>44134</v>
      </c>
      <c r="C594" s="233" t="s">
        <v>5006</v>
      </c>
      <c r="D594" s="233"/>
      <c r="E594" s="233" t="s">
        <v>3646</v>
      </c>
      <c r="F594" s="757" t="s">
        <v>5009</v>
      </c>
      <c r="G594" s="234" t="s">
        <v>5074</v>
      </c>
      <c r="H594" s="757" t="s">
        <v>7351</v>
      </c>
      <c r="I594" s="683"/>
      <c r="J594" s="682"/>
      <c r="K594" s="771" t="s">
        <v>83</v>
      </c>
      <c r="L594" s="772" t="s">
        <v>572</v>
      </c>
      <c r="M594" s="764">
        <v>2828000</v>
      </c>
      <c r="N594" s="764">
        <v>3110800</v>
      </c>
      <c r="O594" s="683"/>
      <c r="P594" s="685">
        <v>45229</v>
      </c>
      <c r="Q594" s="683"/>
      <c r="R594" s="770">
        <v>0.4</v>
      </c>
      <c r="S594" s="764">
        <f>N594-T594</f>
        <v>920800</v>
      </c>
      <c r="T594" s="758">
        <v>2190000</v>
      </c>
      <c r="U594" s="759">
        <f t="shared" si="63"/>
        <v>1708720</v>
      </c>
      <c r="V594" s="759">
        <f t="shared" si="61"/>
        <v>787920</v>
      </c>
      <c r="W594" s="683" t="s">
        <v>7441</v>
      </c>
    </row>
    <row r="595" spans="1:23" s="769" customFormat="1" ht="63" x14ac:dyDescent="0.25">
      <c r="A595" s="659">
        <v>582</v>
      </c>
      <c r="B595" s="661">
        <v>44134</v>
      </c>
      <c r="C595" s="648" t="s">
        <v>7352</v>
      </c>
      <c r="D595" s="648" t="s">
        <v>562</v>
      </c>
      <c r="E595" s="648" t="s">
        <v>3622</v>
      </c>
      <c r="F595" s="765" t="s">
        <v>7353</v>
      </c>
      <c r="G595" s="648" t="s">
        <v>7354</v>
      </c>
      <c r="H595" s="765" t="s">
        <v>7355</v>
      </c>
      <c r="I595" s="659"/>
      <c r="J595" s="659"/>
      <c r="K595" s="659" t="s">
        <v>94</v>
      </c>
      <c r="L595" s="659" t="s">
        <v>777</v>
      </c>
      <c r="M595" s="656">
        <v>1161000</v>
      </c>
      <c r="N595" s="656">
        <v>1277100</v>
      </c>
      <c r="O595" s="659"/>
      <c r="P595" s="661">
        <v>44498</v>
      </c>
      <c r="Q595" s="659"/>
      <c r="R595" s="801">
        <v>0.4</v>
      </c>
      <c r="S595" s="663">
        <f>(M595-3000*12)*40%</f>
        <v>450000</v>
      </c>
      <c r="T595" s="768"/>
      <c r="U595" s="659">
        <f t="shared" si="63"/>
        <v>675180</v>
      </c>
      <c r="V595" s="659">
        <f t="shared" si="61"/>
        <v>225180</v>
      </c>
      <c r="W595" s="659"/>
    </row>
    <row r="596" spans="1:23" s="769" customFormat="1" ht="31.5" x14ac:dyDescent="0.25">
      <c r="A596" s="659">
        <v>583</v>
      </c>
      <c r="B596" s="661">
        <v>44134</v>
      </c>
      <c r="C596" s="648" t="s">
        <v>7356</v>
      </c>
      <c r="D596" s="648" t="s">
        <v>1279</v>
      </c>
      <c r="E596" s="648" t="s">
        <v>3622</v>
      </c>
      <c r="F596" s="765" t="s">
        <v>7358</v>
      </c>
      <c r="G596" s="648" t="s">
        <v>7357</v>
      </c>
      <c r="H596" s="765" t="s">
        <v>7359</v>
      </c>
      <c r="I596" s="659"/>
      <c r="J596" s="659"/>
      <c r="K596" s="659" t="s">
        <v>1430</v>
      </c>
      <c r="L596" s="659" t="s">
        <v>572</v>
      </c>
      <c r="M596" s="670">
        <v>2643000</v>
      </c>
      <c r="N596" s="670">
        <v>2907300</v>
      </c>
      <c r="O596" s="659"/>
      <c r="P596" s="661">
        <v>44123</v>
      </c>
      <c r="Q596" s="659"/>
      <c r="R596" s="801">
        <v>0.45</v>
      </c>
      <c r="S596" s="663">
        <f>(M596-3000*36)*45%</f>
        <v>1140750</v>
      </c>
      <c r="T596" s="768"/>
      <c r="U596" s="659">
        <f t="shared" si="63"/>
        <v>1594020</v>
      </c>
      <c r="V596" s="659">
        <f t="shared" si="61"/>
        <v>453270</v>
      </c>
      <c r="W596" s="659"/>
    </row>
    <row r="597" spans="1:23" s="769" customFormat="1" ht="47.25" x14ac:dyDescent="0.25">
      <c r="A597" s="659">
        <v>584</v>
      </c>
      <c r="B597" s="661">
        <v>44134</v>
      </c>
      <c r="C597" s="648" t="s">
        <v>7360</v>
      </c>
      <c r="D597" s="648" t="s">
        <v>3622</v>
      </c>
      <c r="E597" s="648" t="s">
        <v>3622</v>
      </c>
      <c r="F597" s="765" t="s">
        <v>7362</v>
      </c>
      <c r="G597" s="648" t="s">
        <v>7361</v>
      </c>
      <c r="H597" s="765"/>
      <c r="I597" s="659"/>
      <c r="J597" s="659"/>
      <c r="K597" s="659" t="s">
        <v>1430</v>
      </c>
      <c r="L597" s="659" t="s">
        <v>572</v>
      </c>
      <c r="M597" s="670">
        <v>2643000</v>
      </c>
      <c r="N597" s="670">
        <v>2907300</v>
      </c>
      <c r="O597" s="659"/>
      <c r="P597" s="661">
        <v>44123</v>
      </c>
      <c r="Q597" s="659"/>
      <c r="R597" s="801">
        <v>0.4</v>
      </c>
      <c r="S597" s="663">
        <f t="shared" si="62"/>
        <v>1014000</v>
      </c>
      <c r="T597" s="768"/>
      <c r="U597" s="659">
        <f t="shared" si="63"/>
        <v>1594020</v>
      </c>
      <c r="V597" s="659">
        <f t="shared" si="61"/>
        <v>580020</v>
      </c>
      <c r="W597" s="659"/>
    </row>
    <row r="598" spans="1:23" s="660" customFormat="1" ht="63" x14ac:dyDescent="0.25">
      <c r="A598" s="651">
        <v>585</v>
      </c>
      <c r="B598" s="652">
        <v>44134</v>
      </c>
      <c r="C598" s="334" t="s">
        <v>1374</v>
      </c>
      <c r="D598" s="334"/>
      <c r="E598" s="334" t="s">
        <v>3646</v>
      </c>
      <c r="F598" s="653" t="s">
        <v>1375</v>
      </c>
      <c r="G598" s="654" t="s">
        <v>7363</v>
      </c>
      <c r="H598" s="653" t="s">
        <v>7364</v>
      </c>
      <c r="I598" s="651"/>
      <c r="J598" s="655"/>
      <c r="K598" s="659" t="s">
        <v>94</v>
      </c>
      <c r="L598" s="659" t="s">
        <v>777</v>
      </c>
      <c r="M598" s="656">
        <v>1161000</v>
      </c>
      <c r="N598" s="656">
        <v>1277100</v>
      </c>
      <c r="O598" s="651"/>
      <c r="P598" s="652">
        <v>44499</v>
      </c>
      <c r="Q598" s="651"/>
      <c r="R598" s="657">
        <v>0.4</v>
      </c>
      <c r="S598" s="663">
        <f>(M598-3000*12)*40%</f>
        <v>450000</v>
      </c>
      <c r="T598" s="658"/>
      <c r="U598" s="659">
        <f t="shared" si="63"/>
        <v>675180</v>
      </c>
      <c r="V598" s="659">
        <f t="shared" si="61"/>
        <v>225180</v>
      </c>
      <c r="W598" s="651"/>
    </row>
    <row r="599" spans="1:23" s="769" customFormat="1" ht="47.25" x14ac:dyDescent="0.25">
      <c r="A599" s="659">
        <v>586</v>
      </c>
      <c r="B599" s="661">
        <v>44134</v>
      </c>
      <c r="C599" s="648" t="s">
        <v>7365</v>
      </c>
      <c r="D599" s="648" t="s">
        <v>3622</v>
      </c>
      <c r="E599" s="648" t="s">
        <v>3622</v>
      </c>
      <c r="F599" s="765" t="s">
        <v>7367</v>
      </c>
      <c r="G599" s="648" t="s">
        <v>7366</v>
      </c>
      <c r="H599" s="765"/>
      <c r="I599" s="659"/>
      <c r="J599" s="659"/>
      <c r="K599" s="659" t="s">
        <v>94</v>
      </c>
      <c r="L599" s="659" t="s">
        <v>777</v>
      </c>
      <c r="M599" s="656">
        <v>1161000</v>
      </c>
      <c r="N599" s="656">
        <v>1277100</v>
      </c>
      <c r="O599" s="659"/>
      <c r="P599" s="661">
        <v>44499</v>
      </c>
      <c r="Q599" s="659"/>
      <c r="R599" s="801">
        <v>0.4</v>
      </c>
      <c r="S599" s="663">
        <f>(M599-3000*12)*40%</f>
        <v>450000</v>
      </c>
      <c r="T599" s="768"/>
      <c r="U599" s="659">
        <f t="shared" si="63"/>
        <v>675180</v>
      </c>
      <c r="V599" s="659">
        <f t="shared" si="61"/>
        <v>225180</v>
      </c>
      <c r="W599" s="659"/>
    </row>
    <row r="600" spans="1:23" s="660" customFormat="1" ht="47.25" x14ac:dyDescent="0.25">
      <c r="A600" s="651">
        <v>587</v>
      </c>
      <c r="B600" s="652">
        <v>44134</v>
      </c>
      <c r="C600" s="334" t="s">
        <v>7369</v>
      </c>
      <c r="D600" s="334" t="s">
        <v>562</v>
      </c>
      <c r="E600" s="334" t="s">
        <v>3479</v>
      </c>
      <c r="F600" s="653" t="s">
        <v>7368</v>
      </c>
      <c r="G600" s="654" t="s">
        <v>7370</v>
      </c>
      <c r="H600" s="653" t="s">
        <v>7371</v>
      </c>
      <c r="I600" s="651"/>
      <c r="J600" s="655"/>
      <c r="K600" s="655" t="s">
        <v>1430</v>
      </c>
      <c r="L600" s="651" t="s">
        <v>572</v>
      </c>
      <c r="M600" s="670">
        <v>2643000</v>
      </c>
      <c r="N600" s="670">
        <v>2907300</v>
      </c>
      <c r="O600" s="651"/>
      <c r="P600" s="652">
        <v>44123</v>
      </c>
      <c r="Q600" s="651"/>
      <c r="R600" s="657">
        <v>0.4</v>
      </c>
      <c r="S600" s="663">
        <f t="shared" si="62"/>
        <v>1014000</v>
      </c>
      <c r="T600" s="658"/>
      <c r="U600" s="659">
        <f t="shared" si="63"/>
        <v>1594020</v>
      </c>
      <c r="V600" s="659">
        <f t="shared" si="61"/>
        <v>580020</v>
      </c>
      <c r="W600" s="651"/>
    </row>
    <row r="601" spans="1:23" s="660" customFormat="1" ht="47.25" x14ac:dyDescent="0.25">
      <c r="A601" s="651">
        <v>588</v>
      </c>
      <c r="B601" s="652">
        <v>44134</v>
      </c>
      <c r="C601" s="334" t="s">
        <v>7372</v>
      </c>
      <c r="D601" s="334"/>
      <c r="E601" s="334" t="s">
        <v>7373</v>
      </c>
      <c r="F601" s="653" t="s">
        <v>7374</v>
      </c>
      <c r="G601" s="654" t="s">
        <v>7375</v>
      </c>
      <c r="H601" s="653" t="s">
        <v>7376</v>
      </c>
      <c r="I601" s="651"/>
      <c r="J601" s="655"/>
      <c r="K601" s="655" t="s">
        <v>1430</v>
      </c>
      <c r="L601" s="651" t="s">
        <v>756</v>
      </c>
      <c r="M601" s="656">
        <v>1992000</v>
      </c>
      <c r="N601" s="656">
        <v>2191200</v>
      </c>
      <c r="O601" s="651"/>
      <c r="P601" s="652">
        <v>44862</v>
      </c>
      <c r="Q601" s="651"/>
      <c r="R601" s="657">
        <v>0.4</v>
      </c>
      <c r="S601" s="663">
        <f t="shared" si="62"/>
        <v>753600</v>
      </c>
      <c r="T601" s="658"/>
      <c r="U601" s="659">
        <f t="shared" si="63"/>
        <v>1190400</v>
      </c>
      <c r="V601" s="659">
        <f t="shared" si="61"/>
        <v>436800</v>
      </c>
      <c r="W601" s="651"/>
    </row>
    <row r="602" spans="1:23" s="660" customFormat="1" ht="31.5" x14ac:dyDescent="0.25">
      <c r="A602" s="651">
        <v>589</v>
      </c>
      <c r="B602" s="652">
        <v>44134</v>
      </c>
      <c r="C602" s="334" t="s">
        <v>7377</v>
      </c>
      <c r="D602" s="334" t="s">
        <v>3479</v>
      </c>
      <c r="E602" s="334" t="s">
        <v>3479</v>
      </c>
      <c r="F602" s="653" t="s">
        <v>7379</v>
      </c>
      <c r="G602" s="654" t="s">
        <v>7378</v>
      </c>
      <c r="H602" s="653"/>
      <c r="I602" s="651"/>
      <c r="J602" s="655"/>
      <c r="K602" s="659" t="s">
        <v>94</v>
      </c>
      <c r="L602" s="659" t="s">
        <v>777</v>
      </c>
      <c r="M602" s="656">
        <v>1161000</v>
      </c>
      <c r="N602" s="656">
        <v>1277100</v>
      </c>
      <c r="O602" s="651"/>
      <c r="P602" s="652">
        <v>44499</v>
      </c>
      <c r="Q602" s="651"/>
      <c r="R602" s="657">
        <v>0.4</v>
      </c>
      <c r="S602" s="663">
        <f>(M602-3000*12)*40%</f>
        <v>450000</v>
      </c>
      <c r="T602" s="658"/>
      <c r="U602" s="659">
        <f t="shared" si="63"/>
        <v>675180</v>
      </c>
      <c r="V602" s="659">
        <f t="shared" si="61"/>
        <v>225180</v>
      </c>
      <c r="W602" s="651"/>
    </row>
    <row r="603" spans="1:23" s="769" customFormat="1" ht="47.25" x14ac:dyDescent="0.25">
      <c r="A603" s="659">
        <v>590</v>
      </c>
      <c r="B603" s="661">
        <v>44134</v>
      </c>
      <c r="C603" s="648" t="s">
        <v>7380</v>
      </c>
      <c r="D603" s="648" t="s">
        <v>562</v>
      </c>
      <c r="E603" s="648" t="s">
        <v>3622</v>
      </c>
      <c r="F603" s="765" t="s">
        <v>7382</v>
      </c>
      <c r="G603" s="648" t="s">
        <v>7381</v>
      </c>
      <c r="H603" s="765" t="s">
        <v>7383</v>
      </c>
      <c r="I603" s="659"/>
      <c r="J603" s="659"/>
      <c r="K603" s="659" t="s">
        <v>1430</v>
      </c>
      <c r="L603" s="659" t="s">
        <v>572</v>
      </c>
      <c r="M603" s="670">
        <v>2643000</v>
      </c>
      <c r="N603" s="670">
        <v>2907300</v>
      </c>
      <c r="O603" s="659"/>
      <c r="P603" s="661">
        <v>44123</v>
      </c>
      <c r="Q603" s="659"/>
      <c r="R603" s="801">
        <v>0.4</v>
      </c>
      <c r="S603" s="663">
        <f t="shared" si="62"/>
        <v>1014000</v>
      </c>
      <c r="T603" s="768"/>
      <c r="U603" s="659">
        <f t="shared" si="63"/>
        <v>1594020</v>
      </c>
      <c r="V603" s="659">
        <f t="shared" si="61"/>
        <v>580020</v>
      </c>
      <c r="W603" s="659"/>
    </row>
    <row r="604" spans="1:23" s="660" customFormat="1" ht="31.5" x14ac:dyDescent="0.25">
      <c r="A604" s="651">
        <v>591</v>
      </c>
      <c r="B604" s="652">
        <v>44134</v>
      </c>
      <c r="C604" s="334" t="s">
        <v>7384</v>
      </c>
      <c r="D604" s="334" t="s">
        <v>562</v>
      </c>
      <c r="E604" s="334" t="s">
        <v>3479</v>
      </c>
      <c r="F604" s="653" t="s">
        <v>7386</v>
      </c>
      <c r="G604" s="654" t="s">
        <v>7385</v>
      </c>
      <c r="H604" s="653" t="s">
        <v>7387</v>
      </c>
      <c r="I604" s="651"/>
      <c r="J604" s="655"/>
      <c r="K604" s="655" t="s">
        <v>1430</v>
      </c>
      <c r="L604" s="651" t="s">
        <v>572</v>
      </c>
      <c r="M604" s="670">
        <v>2643000</v>
      </c>
      <c r="N604" s="670">
        <v>2907300</v>
      </c>
      <c r="O604" s="651"/>
      <c r="P604" s="652">
        <v>44123</v>
      </c>
      <c r="Q604" s="651"/>
      <c r="R604" s="657">
        <v>0.4</v>
      </c>
      <c r="S604" s="663">
        <f t="shared" si="62"/>
        <v>1014000</v>
      </c>
      <c r="T604" s="658"/>
      <c r="U604" s="659">
        <f t="shared" si="63"/>
        <v>1594020</v>
      </c>
      <c r="V604" s="659">
        <f t="shared" ref="V604:V624" si="70">U604-S604</f>
        <v>580020</v>
      </c>
      <c r="W604" s="651"/>
    </row>
    <row r="605" spans="1:23" s="769" customFormat="1" ht="47.25" x14ac:dyDescent="0.25">
      <c r="A605" s="659">
        <v>592</v>
      </c>
      <c r="B605" s="661">
        <v>44134</v>
      </c>
      <c r="C605" s="648" t="s">
        <v>7389</v>
      </c>
      <c r="D605" s="648" t="s">
        <v>562</v>
      </c>
      <c r="E605" s="648" t="s">
        <v>3622</v>
      </c>
      <c r="F605" s="765" t="s">
        <v>7388</v>
      </c>
      <c r="G605" s="648" t="s">
        <v>7390</v>
      </c>
      <c r="H605" s="765" t="s">
        <v>7391</v>
      </c>
      <c r="I605" s="659"/>
      <c r="J605" s="659"/>
      <c r="K605" s="659" t="s">
        <v>1430</v>
      </c>
      <c r="L605" s="659" t="s">
        <v>572</v>
      </c>
      <c r="M605" s="670">
        <v>2643000</v>
      </c>
      <c r="N605" s="670">
        <v>2907300</v>
      </c>
      <c r="O605" s="659"/>
      <c r="P605" s="661">
        <v>44123</v>
      </c>
      <c r="Q605" s="659"/>
      <c r="R605" s="801">
        <v>0.4</v>
      </c>
      <c r="S605" s="663">
        <f t="shared" si="62"/>
        <v>1014000</v>
      </c>
      <c r="T605" s="768">
        <v>500000</v>
      </c>
      <c r="U605" s="659">
        <f t="shared" si="63"/>
        <v>1594020</v>
      </c>
      <c r="V605" s="659">
        <f t="shared" si="70"/>
        <v>580020</v>
      </c>
      <c r="W605" s="659"/>
    </row>
    <row r="606" spans="1:23" s="660" customFormat="1" ht="47.25" x14ac:dyDescent="0.25">
      <c r="A606" s="651">
        <v>593</v>
      </c>
      <c r="B606" s="652">
        <v>44134</v>
      </c>
      <c r="C606" s="334" t="s">
        <v>7415</v>
      </c>
      <c r="D606" s="334" t="s">
        <v>1907</v>
      </c>
      <c r="E606" s="334" t="s">
        <v>3646</v>
      </c>
      <c r="F606" s="653" t="s">
        <v>7414</v>
      </c>
      <c r="G606" s="654" t="s">
        <v>7416</v>
      </c>
      <c r="H606" s="653" t="s">
        <v>7417</v>
      </c>
      <c r="I606" s="651"/>
      <c r="J606" s="655"/>
      <c r="K606" s="655" t="s">
        <v>180</v>
      </c>
      <c r="L606" s="651" t="s">
        <v>777</v>
      </c>
      <c r="M606" s="656">
        <v>1161000</v>
      </c>
      <c r="N606" s="656">
        <v>1827100</v>
      </c>
      <c r="O606" s="651"/>
      <c r="P606" s="652">
        <v>44471</v>
      </c>
      <c r="Q606" s="651"/>
      <c r="R606" s="657">
        <v>0.4</v>
      </c>
      <c r="S606" s="663">
        <f>(M606-3000*12)*40%</f>
        <v>450000</v>
      </c>
      <c r="T606" s="658"/>
      <c r="U606" s="659">
        <f t="shared" si="63"/>
        <v>675180</v>
      </c>
      <c r="V606" s="659">
        <f t="shared" si="70"/>
        <v>225180</v>
      </c>
      <c r="W606" s="651"/>
    </row>
    <row r="607" spans="1:23" s="660" customFormat="1" ht="47.25" x14ac:dyDescent="0.25">
      <c r="A607" s="651">
        <v>594</v>
      </c>
      <c r="B607" s="652">
        <v>44135</v>
      </c>
      <c r="C607" s="334" t="s">
        <v>7372</v>
      </c>
      <c r="D607" s="334"/>
      <c r="E607" s="334" t="s">
        <v>3646</v>
      </c>
      <c r="F607" s="653" t="s">
        <v>7374</v>
      </c>
      <c r="G607" s="654" t="s">
        <v>7375</v>
      </c>
      <c r="H607" s="653" t="s">
        <v>7376</v>
      </c>
      <c r="I607" s="651"/>
      <c r="J607" s="655"/>
      <c r="K607" s="655" t="s">
        <v>1430</v>
      </c>
      <c r="L607" s="651" t="s">
        <v>756</v>
      </c>
      <c r="M607" s="656">
        <v>1992000</v>
      </c>
      <c r="N607" s="656">
        <v>2191200</v>
      </c>
      <c r="O607" s="651"/>
      <c r="P607" s="652">
        <v>44862</v>
      </c>
      <c r="Q607" s="651"/>
      <c r="R607" s="657">
        <v>0.4</v>
      </c>
      <c r="S607" s="663">
        <f>(M607-3000*24)*40%</f>
        <v>768000</v>
      </c>
      <c r="T607" s="658"/>
      <c r="U607" s="659">
        <f t="shared" si="63"/>
        <v>1190400</v>
      </c>
      <c r="V607" s="659">
        <f t="shared" si="70"/>
        <v>422400</v>
      </c>
      <c r="W607" s="651"/>
    </row>
    <row r="608" spans="1:23" s="660" customFormat="1" ht="47.25" x14ac:dyDescent="0.25">
      <c r="A608" s="651">
        <v>595</v>
      </c>
      <c r="B608" s="652">
        <v>44135</v>
      </c>
      <c r="C608" s="334" t="s">
        <v>7418</v>
      </c>
      <c r="D608" s="334" t="s">
        <v>562</v>
      </c>
      <c r="E608" s="334" t="s">
        <v>3479</v>
      </c>
      <c r="F608" s="653" t="s">
        <v>7419</v>
      </c>
      <c r="G608" s="654" t="s">
        <v>7421</v>
      </c>
      <c r="H608" s="653" t="s">
        <v>7420</v>
      </c>
      <c r="I608" s="651"/>
      <c r="J608" s="655"/>
      <c r="K608" s="659" t="s">
        <v>94</v>
      </c>
      <c r="L608" s="659" t="s">
        <v>777</v>
      </c>
      <c r="M608" s="656">
        <v>1161000</v>
      </c>
      <c r="N608" s="656">
        <v>1277100</v>
      </c>
      <c r="O608" s="651"/>
      <c r="P608" s="652">
        <v>44499</v>
      </c>
      <c r="Q608" s="651"/>
      <c r="R608" s="657">
        <v>0.4</v>
      </c>
      <c r="S608" s="663">
        <f>(M608-3000*12)*40%</f>
        <v>450000</v>
      </c>
      <c r="T608" s="658"/>
      <c r="U608" s="659">
        <f t="shared" si="63"/>
        <v>675180</v>
      </c>
      <c r="V608" s="659">
        <f t="shared" si="70"/>
        <v>225180</v>
      </c>
      <c r="W608" s="651"/>
    </row>
    <row r="609" spans="1:23" s="660" customFormat="1" ht="47.25" x14ac:dyDescent="0.25">
      <c r="A609" s="651">
        <v>596</v>
      </c>
      <c r="B609" s="652">
        <v>44135</v>
      </c>
      <c r="C609" s="334" t="s">
        <v>7422</v>
      </c>
      <c r="D609" s="334" t="s">
        <v>309</v>
      </c>
      <c r="E609" s="334" t="s">
        <v>3646</v>
      </c>
      <c r="F609" s="653" t="s">
        <v>7424</v>
      </c>
      <c r="G609" s="654" t="s">
        <v>7423</v>
      </c>
      <c r="H609" s="653" t="s">
        <v>7425</v>
      </c>
      <c r="I609" s="651"/>
      <c r="J609" s="655"/>
      <c r="K609" s="655" t="s">
        <v>1430</v>
      </c>
      <c r="L609" s="651" t="s">
        <v>572</v>
      </c>
      <c r="M609" s="670">
        <v>2643000</v>
      </c>
      <c r="N609" s="670">
        <v>2907300</v>
      </c>
      <c r="O609" s="651"/>
      <c r="P609" s="652">
        <v>44123</v>
      </c>
      <c r="Q609" s="651"/>
      <c r="R609" s="657">
        <v>0.4</v>
      </c>
      <c r="S609" s="663">
        <f t="shared" ref="S609" si="71">(M609-3000*36)*40%</f>
        <v>1014000</v>
      </c>
      <c r="T609" s="658"/>
      <c r="U609" s="659">
        <f t="shared" si="63"/>
        <v>1594020</v>
      </c>
      <c r="V609" s="659">
        <f t="shared" si="70"/>
        <v>580020</v>
      </c>
      <c r="W609" s="651"/>
    </row>
    <row r="610" spans="1:23" s="760" customFormat="1" ht="47.25" x14ac:dyDescent="0.25">
      <c r="A610" s="683">
        <v>597</v>
      </c>
      <c r="B610" s="685">
        <v>44135</v>
      </c>
      <c r="C610" s="233" t="s">
        <v>7426</v>
      </c>
      <c r="D610" s="233"/>
      <c r="E610" s="233" t="s">
        <v>3646</v>
      </c>
      <c r="F610" s="757" t="s">
        <v>7253</v>
      </c>
      <c r="G610" s="234" t="s">
        <v>7254</v>
      </c>
      <c r="H610" s="757" t="s">
        <v>7427</v>
      </c>
      <c r="I610" s="683"/>
      <c r="J610" s="682"/>
      <c r="K610" s="759" t="s">
        <v>94</v>
      </c>
      <c r="L610" s="759" t="s">
        <v>777</v>
      </c>
      <c r="M610" s="761">
        <v>1161000</v>
      </c>
      <c r="N610" s="761">
        <v>1277100</v>
      </c>
      <c r="O610" s="683"/>
      <c r="P610" s="685">
        <v>44499</v>
      </c>
      <c r="Q610" s="683"/>
      <c r="R610" s="770">
        <v>0.4</v>
      </c>
      <c r="S610" s="764">
        <f>(M610-3000*12)*40%</f>
        <v>450000</v>
      </c>
      <c r="T610" s="758"/>
      <c r="U610" s="759">
        <f t="shared" si="63"/>
        <v>675180</v>
      </c>
      <c r="V610" s="759">
        <f t="shared" si="70"/>
        <v>225180</v>
      </c>
      <c r="W610" s="683" t="s">
        <v>7428</v>
      </c>
    </row>
    <row r="611" spans="1:23" s="660" customFormat="1" ht="31.5" x14ac:dyDescent="0.25">
      <c r="A611" s="651">
        <v>598</v>
      </c>
      <c r="B611" s="652">
        <v>44135</v>
      </c>
      <c r="C611" s="334" t="s">
        <v>7429</v>
      </c>
      <c r="D611" s="334" t="s">
        <v>562</v>
      </c>
      <c r="E611" s="334" t="s">
        <v>3646</v>
      </c>
      <c r="F611" s="653" t="s">
        <v>7430</v>
      </c>
      <c r="G611" s="654" t="s">
        <v>7431</v>
      </c>
      <c r="H611" s="653" t="s">
        <v>7432</v>
      </c>
      <c r="I611" s="651"/>
      <c r="J611" s="655"/>
      <c r="K611" s="655" t="s">
        <v>1430</v>
      </c>
      <c r="L611" s="651" t="s">
        <v>572</v>
      </c>
      <c r="M611" s="670">
        <v>2643000</v>
      </c>
      <c r="N611" s="670">
        <v>2907300</v>
      </c>
      <c r="O611" s="651"/>
      <c r="P611" s="652">
        <v>44123</v>
      </c>
      <c r="Q611" s="651"/>
      <c r="R611" s="657">
        <v>0.4</v>
      </c>
      <c r="S611" s="663">
        <f t="shared" ref="S611" si="72">(M611-3000*36)*40%</f>
        <v>1014000</v>
      </c>
      <c r="T611" s="658"/>
      <c r="U611" s="659">
        <f t="shared" si="63"/>
        <v>1594020</v>
      </c>
      <c r="V611" s="659">
        <f t="shared" si="70"/>
        <v>580020</v>
      </c>
      <c r="W611" s="651"/>
    </row>
    <row r="612" spans="1:23" s="272" customFormat="1" ht="47.25" x14ac:dyDescent="0.25">
      <c r="A612" s="651">
        <v>599</v>
      </c>
      <c r="B612" s="652">
        <v>44135</v>
      </c>
      <c r="C612" s="334" t="s">
        <v>7433</v>
      </c>
      <c r="D612" s="334" t="s">
        <v>3404</v>
      </c>
      <c r="E612" s="334" t="s">
        <v>3622</v>
      </c>
      <c r="F612" s="335" t="s">
        <v>7436</v>
      </c>
      <c r="G612" s="268" t="s">
        <v>7434</v>
      </c>
      <c r="H612" s="335"/>
      <c r="I612" s="266"/>
      <c r="J612" s="269"/>
      <c r="K612" s="659" t="s">
        <v>94</v>
      </c>
      <c r="L612" s="659" t="s">
        <v>777</v>
      </c>
      <c r="M612" s="656">
        <v>1161000</v>
      </c>
      <c r="N612" s="656">
        <v>1277100</v>
      </c>
      <c r="O612" s="651"/>
      <c r="P612" s="652">
        <v>44499</v>
      </c>
      <c r="Q612" s="651"/>
      <c r="R612" s="657">
        <v>0.4</v>
      </c>
      <c r="S612" s="663">
        <f>(M612-3000*12)*40%</f>
        <v>450000</v>
      </c>
      <c r="T612" s="589"/>
      <c r="U612" s="659">
        <f t="shared" si="63"/>
        <v>675180</v>
      </c>
      <c r="V612" s="659">
        <f t="shared" si="70"/>
        <v>225180</v>
      </c>
      <c r="W612" s="266"/>
    </row>
    <row r="613" spans="1:23" s="272" customFormat="1" ht="47.25" x14ac:dyDescent="0.25">
      <c r="A613" s="651">
        <v>600</v>
      </c>
      <c r="B613" s="652">
        <v>44135</v>
      </c>
      <c r="C613" s="334" t="s">
        <v>7435</v>
      </c>
      <c r="D613" s="334" t="s">
        <v>7209</v>
      </c>
      <c r="E613" s="334" t="s">
        <v>3622</v>
      </c>
      <c r="F613" s="335" t="s">
        <v>7437</v>
      </c>
      <c r="G613" s="268" t="s">
        <v>7438</v>
      </c>
      <c r="H613" s="335" t="s">
        <v>7439</v>
      </c>
      <c r="I613" s="266"/>
      <c r="J613" s="269"/>
      <c r="K613" s="659" t="s">
        <v>94</v>
      </c>
      <c r="L613" s="659" t="s">
        <v>777</v>
      </c>
      <c r="M613" s="656">
        <v>1161000</v>
      </c>
      <c r="N613" s="656">
        <v>1277100</v>
      </c>
      <c r="O613" s="651"/>
      <c r="P613" s="652">
        <v>44499</v>
      </c>
      <c r="Q613" s="651"/>
      <c r="R613" s="657">
        <v>0.4</v>
      </c>
      <c r="S613" s="663">
        <f>(M613-3000*12)*40%</f>
        <v>450000</v>
      </c>
      <c r="T613" s="589"/>
      <c r="U613" s="659">
        <f t="shared" si="63"/>
        <v>675180</v>
      </c>
      <c r="V613" s="659">
        <f t="shared" si="70"/>
        <v>225180</v>
      </c>
      <c r="W613" s="266"/>
    </row>
    <row r="614" spans="1:23" s="272" customFormat="1" ht="31.5" x14ac:dyDescent="0.25">
      <c r="A614" s="651">
        <v>601</v>
      </c>
      <c r="B614" s="373">
        <v>44137</v>
      </c>
      <c r="C614" s="334" t="s">
        <v>7442</v>
      </c>
      <c r="D614" s="334" t="s">
        <v>562</v>
      </c>
      <c r="E614" s="334" t="s">
        <v>3479</v>
      </c>
      <c r="F614" s="335" t="s">
        <v>7443</v>
      </c>
      <c r="G614" s="268" t="s">
        <v>7444</v>
      </c>
      <c r="H614" s="335" t="s">
        <v>7445</v>
      </c>
      <c r="I614" s="266"/>
      <c r="J614" s="269"/>
      <c r="K614" s="659" t="s">
        <v>94</v>
      </c>
      <c r="L614" s="659" t="s">
        <v>777</v>
      </c>
      <c r="M614" s="656">
        <v>1161000</v>
      </c>
      <c r="N614" s="656">
        <v>1277100</v>
      </c>
      <c r="O614" s="651"/>
      <c r="P614" s="652">
        <v>44499</v>
      </c>
      <c r="Q614" s="651"/>
      <c r="R614" s="657">
        <v>0.4</v>
      </c>
      <c r="S614" s="663">
        <f>(M614-3000*12)*40%</f>
        <v>450000</v>
      </c>
      <c r="T614" s="589"/>
      <c r="U614" s="659">
        <f t="shared" si="63"/>
        <v>675180</v>
      </c>
      <c r="V614" s="659">
        <f t="shared" si="70"/>
        <v>225180</v>
      </c>
      <c r="W614" s="266"/>
    </row>
    <row r="615" spans="1:23" s="272" customFormat="1" ht="63" x14ac:dyDescent="0.25">
      <c r="A615" s="651">
        <v>602</v>
      </c>
      <c r="B615" s="373">
        <v>44138</v>
      </c>
      <c r="C615" s="334" t="s">
        <v>7446</v>
      </c>
      <c r="D615" s="334" t="s">
        <v>3479</v>
      </c>
      <c r="E615" s="334" t="s">
        <v>3479</v>
      </c>
      <c r="F615" s="335" t="s">
        <v>7448</v>
      </c>
      <c r="G615" s="268" t="s">
        <v>7447</v>
      </c>
      <c r="H615" s="335"/>
      <c r="I615" s="266"/>
      <c r="J615" s="269"/>
      <c r="K615" s="655" t="s">
        <v>1430</v>
      </c>
      <c r="L615" s="651" t="s">
        <v>756</v>
      </c>
      <c r="M615" s="656">
        <v>1992000</v>
      </c>
      <c r="N615" s="656">
        <v>2191200</v>
      </c>
      <c r="O615" s="651"/>
      <c r="P615" s="652">
        <v>44862</v>
      </c>
      <c r="Q615" s="651"/>
      <c r="R615" s="657">
        <v>0.4</v>
      </c>
      <c r="S615" s="663">
        <f>(M615-3000*24)*40%</f>
        <v>768000</v>
      </c>
      <c r="T615" s="589"/>
      <c r="U615" s="659">
        <f t="shared" si="63"/>
        <v>1190400</v>
      </c>
      <c r="V615" s="659">
        <f t="shared" si="70"/>
        <v>422400</v>
      </c>
      <c r="W615" s="266"/>
    </row>
    <row r="616" spans="1:23" ht="63" x14ac:dyDescent="0.25">
      <c r="A616" s="683">
        <v>603</v>
      </c>
      <c r="B616" s="22">
        <v>44144</v>
      </c>
      <c r="C616" s="233" t="s">
        <v>7495</v>
      </c>
      <c r="D616" s="233" t="s">
        <v>6713</v>
      </c>
      <c r="E616" s="233" t="s">
        <v>3479</v>
      </c>
      <c r="F616" s="101" t="s">
        <v>7496</v>
      </c>
      <c r="G616" s="157" t="s">
        <v>7497</v>
      </c>
      <c r="H616" s="101"/>
      <c r="I616" s="19"/>
      <c r="J616" s="10"/>
      <c r="K616" s="682" t="s">
        <v>1430</v>
      </c>
      <c r="L616" s="683" t="s">
        <v>572</v>
      </c>
      <c r="M616" s="684">
        <v>2643000</v>
      </c>
      <c r="N616" s="684">
        <v>2907300</v>
      </c>
      <c r="O616" s="19"/>
      <c r="P616" s="22">
        <v>45239</v>
      </c>
      <c r="Q616" s="19"/>
      <c r="R616" s="165">
        <v>0.5</v>
      </c>
      <c r="S616" s="764">
        <f>(M616-3000*36)*50%</f>
        <v>1267500</v>
      </c>
      <c r="T616" s="26"/>
      <c r="U616" s="759">
        <f t="shared" si="63"/>
        <v>1594020</v>
      </c>
      <c r="V616" s="759">
        <f t="shared" si="70"/>
        <v>326520</v>
      </c>
      <c r="W616" s="19" t="s">
        <v>7498</v>
      </c>
    </row>
    <row r="617" spans="1:23" ht="47.25" x14ac:dyDescent="0.25">
      <c r="A617" s="651">
        <v>604</v>
      </c>
      <c r="B617" s="22">
        <v>44145</v>
      </c>
      <c r="C617" s="233" t="s">
        <v>7499</v>
      </c>
      <c r="D617" s="233" t="s">
        <v>3479</v>
      </c>
      <c r="E617" s="233" t="s">
        <v>3479</v>
      </c>
      <c r="F617" s="101" t="s">
        <v>7276</v>
      </c>
      <c r="G617" s="157" t="s">
        <v>7277</v>
      </c>
      <c r="H617" s="101"/>
      <c r="I617" s="19"/>
      <c r="J617" s="10"/>
      <c r="K617" s="771" t="s">
        <v>83</v>
      </c>
      <c r="L617" s="772" t="s">
        <v>572</v>
      </c>
      <c r="M617" s="764">
        <v>2828000</v>
      </c>
      <c r="N617" s="764">
        <v>3110800</v>
      </c>
      <c r="O617" s="683"/>
      <c r="P617" s="685">
        <v>45229</v>
      </c>
      <c r="Q617" s="683"/>
      <c r="R617" s="770">
        <v>0.4</v>
      </c>
      <c r="S617" s="764">
        <f>(M617-3000*24)*40%</f>
        <v>1102400</v>
      </c>
      <c r="T617" s="26"/>
      <c r="U617" s="659">
        <f t="shared" ref="U617:U637" si="73">(M617-3000*24)*0.62</f>
        <v>1708720</v>
      </c>
      <c r="V617" s="659">
        <f t="shared" si="70"/>
        <v>606320</v>
      </c>
      <c r="W617" s="19"/>
    </row>
    <row r="618" spans="1:23" s="272" customFormat="1" ht="47.25" x14ac:dyDescent="0.25">
      <c r="A618" s="651">
        <v>605</v>
      </c>
      <c r="B618" s="373">
        <v>44145</v>
      </c>
      <c r="C618" s="334" t="s">
        <v>7500</v>
      </c>
      <c r="D618" s="334" t="s">
        <v>309</v>
      </c>
      <c r="E618" s="334" t="s">
        <v>4753</v>
      </c>
      <c r="F618" s="335" t="s">
        <v>5547</v>
      </c>
      <c r="G618" s="268" t="s">
        <v>5546</v>
      </c>
      <c r="H618" s="335"/>
      <c r="I618" s="266"/>
      <c r="J618" s="269"/>
      <c r="K618" s="655" t="s">
        <v>83</v>
      </c>
      <c r="L618" s="655" t="s">
        <v>103</v>
      </c>
      <c r="M618" s="656">
        <v>1992000</v>
      </c>
      <c r="N618" s="656">
        <v>2741200</v>
      </c>
      <c r="O618" s="652">
        <v>44640</v>
      </c>
      <c r="P618" s="652">
        <v>44864</v>
      </c>
      <c r="Q618" s="651"/>
      <c r="R618" s="657">
        <v>0.4</v>
      </c>
      <c r="S618" s="663">
        <f t="shared" ref="S618" si="74">(M618-3000*36)*40%</f>
        <v>753600</v>
      </c>
      <c r="T618" s="589"/>
      <c r="U618" s="659">
        <f t="shared" si="73"/>
        <v>1190400</v>
      </c>
      <c r="V618" s="659">
        <f t="shared" si="70"/>
        <v>436800</v>
      </c>
      <c r="W618" s="266"/>
    </row>
    <row r="619" spans="1:23" s="272" customFormat="1" ht="47.25" x14ac:dyDescent="0.25">
      <c r="A619" s="651">
        <v>606</v>
      </c>
      <c r="B619" s="373">
        <v>44145</v>
      </c>
      <c r="C619" s="334" t="s">
        <v>7501</v>
      </c>
      <c r="D619" s="334" t="s">
        <v>309</v>
      </c>
      <c r="E619" s="334" t="s">
        <v>5768</v>
      </c>
      <c r="F619" s="335" t="s">
        <v>7504</v>
      </c>
      <c r="G619" s="268" t="s">
        <v>7503</v>
      </c>
      <c r="H619" s="335" t="s">
        <v>7502</v>
      </c>
      <c r="I619" s="266"/>
      <c r="J619" s="269"/>
      <c r="K619" s="669" t="s">
        <v>83</v>
      </c>
      <c r="L619" s="662" t="s">
        <v>572</v>
      </c>
      <c r="M619" s="663">
        <v>2828000</v>
      </c>
      <c r="N619" s="663">
        <v>3110800</v>
      </c>
      <c r="O619" s="651"/>
      <c r="P619" s="652">
        <v>45240</v>
      </c>
      <c r="Q619" s="651"/>
      <c r="R619" s="657">
        <v>0.4</v>
      </c>
      <c r="S619" s="663">
        <f>(M619-3000*24)*40%</f>
        <v>1102400</v>
      </c>
      <c r="T619" s="589"/>
      <c r="U619" s="659">
        <f t="shared" si="73"/>
        <v>1708720</v>
      </c>
      <c r="V619" s="659">
        <f t="shared" si="70"/>
        <v>606320</v>
      </c>
      <c r="W619" s="266"/>
    </row>
    <row r="620" spans="1:23" ht="47.25" x14ac:dyDescent="0.25">
      <c r="A620" s="683">
        <v>607</v>
      </c>
      <c r="B620" s="22">
        <v>44147</v>
      </c>
      <c r="C620" s="233" t="s">
        <v>7505</v>
      </c>
      <c r="D620" s="233" t="s">
        <v>3646</v>
      </c>
      <c r="E620" s="233" t="s">
        <v>5768</v>
      </c>
      <c r="F620" s="101" t="s">
        <v>7507</v>
      </c>
      <c r="G620" s="157" t="s">
        <v>7506</v>
      </c>
      <c r="H620" s="101" t="s">
        <v>7508</v>
      </c>
      <c r="I620" s="19"/>
      <c r="J620" s="10"/>
      <c r="K620" s="682" t="s">
        <v>180</v>
      </c>
      <c r="L620" s="683" t="s">
        <v>777</v>
      </c>
      <c r="M620" s="761">
        <v>1161000</v>
      </c>
      <c r="N620" s="761">
        <v>1827100</v>
      </c>
      <c r="O620" s="683"/>
      <c r="P620" s="685">
        <v>44512</v>
      </c>
      <c r="Q620" s="683"/>
      <c r="R620" s="770">
        <v>0.4</v>
      </c>
      <c r="S620" s="764">
        <f>(M620-3000*12)*40%</f>
        <v>450000</v>
      </c>
      <c r="T620" s="26"/>
      <c r="U620" s="759">
        <f t="shared" si="73"/>
        <v>675180</v>
      </c>
      <c r="V620" s="759">
        <f t="shared" si="70"/>
        <v>225180</v>
      </c>
      <c r="W620" s="19"/>
    </row>
    <row r="621" spans="1:23" s="272" customFormat="1" ht="63" x14ac:dyDescent="0.25">
      <c r="A621" s="651">
        <v>608</v>
      </c>
      <c r="B621" s="373">
        <v>44149</v>
      </c>
      <c r="C621" s="334" t="s">
        <v>7509</v>
      </c>
      <c r="D621" s="334" t="s">
        <v>3646</v>
      </c>
      <c r="E621" s="334" t="s">
        <v>4753</v>
      </c>
      <c r="F621" s="335" t="s">
        <v>7510</v>
      </c>
      <c r="G621" s="268" t="s">
        <v>7511</v>
      </c>
      <c r="H621" s="335" t="s">
        <v>7512</v>
      </c>
      <c r="I621" s="266"/>
      <c r="J621" s="269"/>
      <c r="K621" s="669" t="s">
        <v>83</v>
      </c>
      <c r="L621" s="662" t="s">
        <v>572</v>
      </c>
      <c r="M621" s="663">
        <v>2828000</v>
      </c>
      <c r="N621" s="663">
        <v>3110800</v>
      </c>
      <c r="O621" s="651"/>
      <c r="P621" s="652">
        <v>45240</v>
      </c>
      <c r="Q621" s="651"/>
      <c r="R621" s="657">
        <v>0.4</v>
      </c>
      <c r="S621" s="663">
        <f>(M621-3000*24)*40%</f>
        <v>1102400</v>
      </c>
      <c r="T621" s="589"/>
      <c r="U621" s="659">
        <f t="shared" si="73"/>
        <v>1708720</v>
      </c>
      <c r="V621" s="659">
        <f t="shared" si="70"/>
        <v>606320</v>
      </c>
      <c r="W621" s="266"/>
    </row>
    <row r="622" spans="1:23" s="272" customFormat="1" ht="63" x14ac:dyDescent="0.25">
      <c r="A622" s="651">
        <v>609</v>
      </c>
      <c r="B622" s="373">
        <v>44152</v>
      </c>
      <c r="C622" s="334" t="s">
        <v>7513</v>
      </c>
      <c r="D622" s="334" t="s">
        <v>3646</v>
      </c>
      <c r="E622" s="334" t="s">
        <v>5693</v>
      </c>
      <c r="F622" s="335" t="s">
        <v>7515</v>
      </c>
      <c r="G622" s="268" t="s">
        <v>7514</v>
      </c>
      <c r="H622" s="335"/>
      <c r="I622" s="266"/>
      <c r="J622" s="269"/>
      <c r="K622" s="669" t="s">
        <v>83</v>
      </c>
      <c r="L622" s="662" t="s">
        <v>572</v>
      </c>
      <c r="M622" s="663">
        <v>2828000</v>
      </c>
      <c r="N622" s="663">
        <v>3110800</v>
      </c>
      <c r="O622" s="651"/>
      <c r="P622" s="652">
        <v>45240</v>
      </c>
      <c r="Q622" s="651"/>
      <c r="R622" s="657">
        <v>0.4</v>
      </c>
      <c r="S622" s="663">
        <f>(M622-3000*24)*40%</f>
        <v>1102400</v>
      </c>
      <c r="T622" s="589"/>
      <c r="U622" s="659">
        <f t="shared" si="73"/>
        <v>1708720</v>
      </c>
      <c r="V622" s="659">
        <f t="shared" si="70"/>
        <v>606320</v>
      </c>
      <c r="W622" s="266"/>
    </row>
    <row r="623" spans="1:23" s="272" customFormat="1" ht="47.25" x14ac:dyDescent="0.25">
      <c r="A623" s="651">
        <v>610</v>
      </c>
      <c r="B623" s="373">
        <v>44153</v>
      </c>
      <c r="C623" s="334" t="s">
        <v>7516</v>
      </c>
      <c r="D623" s="334" t="s">
        <v>3479</v>
      </c>
      <c r="E623" s="334" t="s">
        <v>3479</v>
      </c>
      <c r="F623" s="335" t="s">
        <v>6250</v>
      </c>
      <c r="G623" s="268" t="s">
        <v>6249</v>
      </c>
      <c r="H623" s="335"/>
      <c r="I623" s="266"/>
      <c r="J623" s="269"/>
      <c r="K623" s="669" t="s">
        <v>83</v>
      </c>
      <c r="L623" s="662" t="s">
        <v>572</v>
      </c>
      <c r="M623" s="663">
        <v>2828000</v>
      </c>
      <c r="N623" s="663">
        <v>3110800</v>
      </c>
      <c r="O623" s="651"/>
      <c r="P623" s="652">
        <v>45240</v>
      </c>
      <c r="Q623" s="651"/>
      <c r="R623" s="657">
        <v>0.4</v>
      </c>
      <c r="S623" s="663">
        <f>(M623-3000*24)*40%</f>
        <v>1102400</v>
      </c>
      <c r="T623" s="589"/>
      <c r="U623" s="659">
        <f t="shared" si="73"/>
        <v>1708720</v>
      </c>
      <c r="V623" s="659">
        <f t="shared" si="70"/>
        <v>606320</v>
      </c>
      <c r="W623" s="266"/>
    </row>
    <row r="624" spans="1:23" s="272" customFormat="1" ht="47.25" x14ac:dyDescent="0.25">
      <c r="A624" s="651">
        <v>611</v>
      </c>
      <c r="B624" s="373">
        <v>44155</v>
      </c>
      <c r="C624" s="334" t="s">
        <v>7517</v>
      </c>
      <c r="D624" s="334" t="s">
        <v>954</v>
      </c>
      <c r="E624" s="334" t="s">
        <v>4753</v>
      </c>
      <c r="F624" s="335" t="s">
        <v>7518</v>
      </c>
      <c r="G624" s="268" t="s">
        <v>7519</v>
      </c>
      <c r="H624" s="335" t="s">
        <v>7520</v>
      </c>
      <c r="I624" s="266"/>
      <c r="J624" s="269"/>
      <c r="K624" s="655" t="s">
        <v>180</v>
      </c>
      <c r="L624" s="651" t="s">
        <v>777</v>
      </c>
      <c r="M624" s="656">
        <v>1161000</v>
      </c>
      <c r="N624" s="656">
        <v>1827100</v>
      </c>
      <c r="O624" s="651"/>
      <c r="P624" s="652">
        <v>44520</v>
      </c>
      <c r="Q624" s="651"/>
      <c r="R624" s="657">
        <v>0.4</v>
      </c>
      <c r="S624" s="663">
        <f>(M624-3000*12)*40%</f>
        <v>450000</v>
      </c>
      <c r="T624" s="589"/>
      <c r="U624" s="659">
        <f t="shared" si="73"/>
        <v>675180</v>
      </c>
      <c r="V624" s="659">
        <f t="shared" si="70"/>
        <v>225180</v>
      </c>
      <c r="W624" s="266"/>
    </row>
    <row r="625" spans="1:23" s="272" customFormat="1" ht="47.25" x14ac:dyDescent="0.25">
      <c r="A625" s="651">
        <v>612</v>
      </c>
      <c r="B625" s="373">
        <v>44156</v>
      </c>
      <c r="C625" s="334" t="s">
        <v>7521</v>
      </c>
      <c r="D625" s="334" t="s">
        <v>3646</v>
      </c>
      <c r="E625" s="334" t="s">
        <v>4753</v>
      </c>
      <c r="F625" s="335" t="s">
        <v>7522</v>
      </c>
      <c r="G625" s="268" t="s">
        <v>7523</v>
      </c>
      <c r="H625" s="335" t="s">
        <v>7524</v>
      </c>
      <c r="I625" s="266"/>
      <c r="J625" s="269"/>
      <c r="K625" s="669" t="s">
        <v>83</v>
      </c>
      <c r="L625" s="662" t="s">
        <v>572</v>
      </c>
      <c r="M625" s="663">
        <v>2828000</v>
      </c>
      <c r="N625" s="663">
        <v>3110800</v>
      </c>
      <c r="O625" s="651"/>
      <c r="P625" s="652">
        <v>45240</v>
      </c>
      <c r="Q625" s="651"/>
      <c r="R625" s="657">
        <v>0.4</v>
      </c>
      <c r="S625" s="663">
        <f>(M625-3000*24)*40%</f>
        <v>1102400</v>
      </c>
      <c r="T625" s="589"/>
      <c r="U625" s="659">
        <f t="shared" si="73"/>
        <v>1708720</v>
      </c>
      <c r="V625" s="274"/>
      <c r="W625" s="266"/>
    </row>
    <row r="626" spans="1:23" s="272" customFormat="1" ht="43.5" customHeight="1" x14ac:dyDescent="0.25">
      <c r="A626" s="651">
        <v>613</v>
      </c>
      <c r="B626" s="373">
        <v>44159</v>
      </c>
      <c r="C626" s="334" t="s">
        <v>7525</v>
      </c>
      <c r="D626" s="334" t="s">
        <v>3646</v>
      </c>
      <c r="E626" s="334" t="s">
        <v>5768</v>
      </c>
      <c r="F626" s="335" t="s">
        <v>7527</v>
      </c>
      <c r="G626" s="268" t="s">
        <v>7526</v>
      </c>
      <c r="H626" s="335" t="s">
        <v>7524</v>
      </c>
      <c r="I626" s="266"/>
      <c r="J626" s="269"/>
      <c r="K626" s="669" t="s">
        <v>83</v>
      </c>
      <c r="L626" s="662" t="s">
        <v>572</v>
      </c>
      <c r="M626" s="663">
        <v>2828000</v>
      </c>
      <c r="N626" s="663">
        <v>3110800</v>
      </c>
      <c r="O626" s="651"/>
      <c r="P626" s="652">
        <v>45240</v>
      </c>
      <c r="Q626" s="651"/>
      <c r="R626" s="657">
        <v>0.4</v>
      </c>
      <c r="S626" s="663">
        <f>(M626-3000*36)*40%</f>
        <v>1088000</v>
      </c>
      <c r="T626" s="589"/>
      <c r="U626" s="659">
        <f t="shared" si="73"/>
        <v>1708720</v>
      </c>
      <c r="V626" s="274"/>
      <c r="W626" s="266"/>
    </row>
    <row r="627" spans="1:23" s="320" customFormat="1" ht="31.5" x14ac:dyDescent="0.25">
      <c r="A627" s="655">
        <v>614</v>
      </c>
      <c r="B627" s="517">
        <v>44159</v>
      </c>
      <c r="C627" s="654" t="s">
        <v>2155</v>
      </c>
      <c r="D627" s="654" t="s">
        <v>474</v>
      </c>
      <c r="E627" s="654" t="s">
        <v>3479</v>
      </c>
      <c r="F627" s="267" t="s">
        <v>2106</v>
      </c>
      <c r="G627" s="268" t="s">
        <v>2107</v>
      </c>
      <c r="H627" s="267"/>
      <c r="I627" s="269"/>
      <c r="J627" s="269"/>
      <c r="K627" s="655" t="s">
        <v>94</v>
      </c>
      <c r="L627" s="655" t="s">
        <v>777</v>
      </c>
      <c r="M627" s="817">
        <v>1161000</v>
      </c>
      <c r="N627" s="817">
        <v>1277100</v>
      </c>
      <c r="O627" s="655"/>
      <c r="P627" s="809">
        <v>44499</v>
      </c>
      <c r="Q627" s="655"/>
      <c r="R627" s="813">
        <v>0.4</v>
      </c>
      <c r="S627" s="814">
        <f>(M627-3000*12)*40%</f>
        <v>450000</v>
      </c>
      <c r="T627" s="607"/>
      <c r="U627" s="655">
        <f t="shared" si="73"/>
        <v>675180</v>
      </c>
      <c r="V627" s="269"/>
      <c r="W627" s="269"/>
    </row>
    <row r="628" spans="1:23" s="272" customFormat="1" ht="47.25" x14ac:dyDescent="0.25">
      <c r="A628" s="651">
        <v>615</v>
      </c>
      <c r="B628" s="373">
        <v>44161</v>
      </c>
      <c r="C628" s="334" t="s">
        <v>7630</v>
      </c>
      <c r="D628" s="334" t="s">
        <v>954</v>
      </c>
      <c r="E628" s="334" t="s">
        <v>3479</v>
      </c>
      <c r="F628" s="335" t="s">
        <v>7631</v>
      </c>
      <c r="G628" s="268" t="s">
        <v>7632</v>
      </c>
      <c r="H628" s="335" t="s">
        <v>7633</v>
      </c>
      <c r="I628" s="266" t="s">
        <v>7633</v>
      </c>
      <c r="J628" s="269"/>
      <c r="K628" s="669" t="s">
        <v>83</v>
      </c>
      <c r="L628" s="662" t="s">
        <v>572</v>
      </c>
      <c r="M628" s="663">
        <v>2828000</v>
      </c>
      <c r="N628" s="663">
        <v>3110800</v>
      </c>
      <c r="O628" s="651"/>
      <c r="P628" s="652">
        <v>45240</v>
      </c>
      <c r="Q628" s="651"/>
      <c r="R628" s="657">
        <v>0.4</v>
      </c>
      <c r="S628" s="663">
        <f>(M628-3000*36)*40%</f>
        <v>1088000</v>
      </c>
      <c r="T628" s="589"/>
      <c r="U628" s="659">
        <f t="shared" si="73"/>
        <v>1708720</v>
      </c>
      <c r="V628" s="274"/>
      <c r="W628" s="266"/>
    </row>
    <row r="629" spans="1:23" s="272" customFormat="1" ht="47.25" x14ac:dyDescent="0.25">
      <c r="A629" s="651">
        <v>616</v>
      </c>
      <c r="B629" s="373">
        <v>44162</v>
      </c>
      <c r="C629" s="334" t="s">
        <v>7602</v>
      </c>
      <c r="D629" s="654" t="s">
        <v>474</v>
      </c>
      <c r="E629" s="654" t="s">
        <v>3479</v>
      </c>
      <c r="F629" s="335" t="s">
        <v>7603</v>
      </c>
      <c r="G629" s="268" t="s">
        <v>7604</v>
      </c>
      <c r="H629" s="335"/>
      <c r="I629" s="266"/>
      <c r="J629" s="269"/>
      <c r="K629" s="655" t="s">
        <v>180</v>
      </c>
      <c r="L629" s="651" t="s">
        <v>777</v>
      </c>
      <c r="M629" s="656">
        <v>1161000</v>
      </c>
      <c r="N629" s="656">
        <v>1827100</v>
      </c>
      <c r="O629" s="651"/>
      <c r="P629" s="652">
        <v>44520</v>
      </c>
      <c r="Q629" s="651"/>
      <c r="R629" s="657">
        <v>0.4</v>
      </c>
      <c r="S629" s="663">
        <f>(M629-3000*12)*40%</f>
        <v>450000</v>
      </c>
      <c r="T629" s="589"/>
      <c r="U629" s="659">
        <f>(M629-3000*12)*0.62</f>
        <v>697500</v>
      </c>
      <c r="V629" s="274"/>
      <c r="W629" s="266"/>
    </row>
    <row r="630" spans="1:23" s="272" customFormat="1" ht="47.25" x14ac:dyDescent="0.25">
      <c r="A630" s="651">
        <v>617</v>
      </c>
      <c r="B630" s="373">
        <v>44163</v>
      </c>
      <c r="C630" s="334" t="s">
        <v>7634</v>
      </c>
      <c r="D630" s="334" t="s">
        <v>1110</v>
      </c>
      <c r="E630" s="334" t="s">
        <v>4753</v>
      </c>
      <c r="F630" s="335" t="s">
        <v>7635</v>
      </c>
      <c r="G630" s="268" t="s">
        <v>7636</v>
      </c>
      <c r="H630" s="335"/>
      <c r="I630" s="266"/>
      <c r="J630" s="269"/>
      <c r="K630" s="655" t="s">
        <v>180</v>
      </c>
      <c r="L630" s="651" t="s">
        <v>777</v>
      </c>
      <c r="M630" s="656">
        <v>1161000</v>
      </c>
      <c r="N630" s="656">
        <v>1827100</v>
      </c>
      <c r="O630" s="651"/>
      <c r="P630" s="652">
        <v>44520</v>
      </c>
      <c r="Q630" s="651"/>
      <c r="R630" s="657">
        <v>0.4</v>
      </c>
      <c r="S630" s="663">
        <f>(M630-3000*12)*40%</f>
        <v>450000</v>
      </c>
      <c r="T630" s="589"/>
      <c r="U630" s="659">
        <f>(M630-3000*12)*0.62</f>
        <v>697500</v>
      </c>
      <c r="V630" s="274"/>
      <c r="W630" s="266"/>
    </row>
    <row r="631" spans="1:23" s="272" customFormat="1" ht="47.25" x14ac:dyDescent="0.25">
      <c r="A631" s="651">
        <v>618</v>
      </c>
      <c r="B631" s="373">
        <v>44163</v>
      </c>
      <c r="C631" s="334" t="s">
        <v>7637</v>
      </c>
      <c r="D631" s="654" t="s">
        <v>474</v>
      </c>
      <c r="E631" s="334"/>
      <c r="F631" s="335" t="s">
        <v>7638</v>
      </c>
      <c r="G631" s="268" t="s">
        <v>7639</v>
      </c>
      <c r="H631" s="335"/>
      <c r="I631" s="266"/>
      <c r="J631" s="269"/>
      <c r="K631" s="655" t="s">
        <v>180</v>
      </c>
      <c r="L631" s="651" t="s">
        <v>777</v>
      </c>
      <c r="M631" s="656">
        <v>1161000</v>
      </c>
      <c r="N631" s="656">
        <v>1827100</v>
      </c>
      <c r="O631" s="651"/>
      <c r="P631" s="652">
        <v>44520</v>
      </c>
      <c r="Q631" s="651"/>
      <c r="R631" s="657">
        <v>0.4</v>
      </c>
      <c r="S631" s="663">
        <f>(M631-3000*12)*40%</f>
        <v>450000</v>
      </c>
      <c r="T631" s="589"/>
      <c r="U631" s="659">
        <f t="shared" si="73"/>
        <v>675180</v>
      </c>
      <c r="V631" s="274"/>
      <c r="W631" s="266"/>
    </row>
    <row r="632" spans="1:23" s="272" customFormat="1" ht="47.25" x14ac:dyDescent="0.25">
      <c r="A632" s="651">
        <v>619</v>
      </c>
      <c r="B632" s="373">
        <v>44163</v>
      </c>
      <c r="C632" s="334" t="s">
        <v>7640</v>
      </c>
      <c r="D632" s="654" t="s">
        <v>474</v>
      </c>
      <c r="E632" s="334"/>
      <c r="F632" s="335" t="s">
        <v>7642</v>
      </c>
      <c r="G632" s="268" t="s">
        <v>7641</v>
      </c>
      <c r="H632" s="335"/>
      <c r="I632" s="266"/>
      <c r="J632" s="269"/>
      <c r="K632" s="655" t="s">
        <v>180</v>
      </c>
      <c r="L632" s="651" t="s">
        <v>777</v>
      </c>
      <c r="M632" s="656">
        <v>1161000</v>
      </c>
      <c r="N632" s="656">
        <v>1827100</v>
      </c>
      <c r="O632" s="651"/>
      <c r="P632" s="652">
        <v>44520</v>
      </c>
      <c r="Q632" s="651"/>
      <c r="R632" s="657">
        <v>0.4</v>
      </c>
      <c r="S632" s="663">
        <f>(M632-3000*12)*40%</f>
        <v>450000</v>
      </c>
      <c r="T632" s="589"/>
      <c r="U632" s="659">
        <f t="shared" si="73"/>
        <v>675180</v>
      </c>
      <c r="V632" s="274"/>
      <c r="W632" s="266"/>
    </row>
    <row r="633" spans="1:23" s="272" customFormat="1" ht="47.25" x14ac:dyDescent="0.25">
      <c r="A633" s="651">
        <v>620</v>
      </c>
      <c r="B633" s="373">
        <v>44165</v>
      </c>
      <c r="C633" s="334" t="s">
        <v>7643</v>
      </c>
      <c r="D633" s="334"/>
      <c r="E633" s="334"/>
      <c r="F633" s="335" t="s">
        <v>7644</v>
      </c>
      <c r="G633" s="268" t="s">
        <v>7645</v>
      </c>
      <c r="H633" s="335"/>
      <c r="I633" s="266"/>
      <c r="J633" s="269"/>
      <c r="K633" s="669" t="s">
        <v>83</v>
      </c>
      <c r="L633" s="662" t="s">
        <v>572</v>
      </c>
      <c r="M633" s="663">
        <v>2828000</v>
      </c>
      <c r="N633" s="663">
        <v>3110800</v>
      </c>
      <c r="O633" s="651"/>
      <c r="P633" s="652">
        <v>45240</v>
      </c>
      <c r="Q633" s="651"/>
      <c r="R633" s="657">
        <v>0.4</v>
      </c>
      <c r="S633" s="663">
        <f>(M633-3000*36)*40%</f>
        <v>1088000</v>
      </c>
      <c r="T633" s="589"/>
      <c r="U633" s="659">
        <f t="shared" si="73"/>
        <v>1708720</v>
      </c>
      <c r="V633" s="274"/>
      <c r="W633" s="266"/>
    </row>
    <row r="634" spans="1:23" s="272" customFormat="1" ht="47.25" x14ac:dyDescent="0.25">
      <c r="A634" s="651">
        <v>621</v>
      </c>
      <c r="B634" s="373">
        <v>44166</v>
      </c>
      <c r="C634" s="334" t="s">
        <v>7646</v>
      </c>
      <c r="D634" s="654" t="s">
        <v>474</v>
      </c>
      <c r="E634" s="334"/>
      <c r="F634" s="335" t="s">
        <v>7648</v>
      </c>
      <c r="G634" s="268" t="s">
        <v>7647</v>
      </c>
      <c r="H634" s="335"/>
      <c r="I634" s="266"/>
      <c r="J634" s="269"/>
      <c r="K634" s="655" t="s">
        <v>180</v>
      </c>
      <c r="L634" s="651" t="s">
        <v>777</v>
      </c>
      <c r="M634" s="656">
        <v>1161000</v>
      </c>
      <c r="N634" s="656">
        <v>1827100</v>
      </c>
      <c r="O634" s="651"/>
      <c r="P634" s="652">
        <v>44520</v>
      </c>
      <c r="Q634" s="651"/>
      <c r="R634" s="657">
        <v>0.4</v>
      </c>
      <c r="S634" s="663">
        <f>(M634-3000*12)*40%</f>
        <v>450000</v>
      </c>
      <c r="T634" s="589"/>
      <c r="U634" s="659">
        <f t="shared" si="73"/>
        <v>675180</v>
      </c>
      <c r="V634" s="274"/>
      <c r="W634" s="266"/>
    </row>
    <row r="635" spans="1:23" ht="47.25" x14ac:dyDescent="0.25">
      <c r="A635" s="651">
        <v>622</v>
      </c>
      <c r="B635" s="22">
        <v>44167</v>
      </c>
      <c r="C635" s="233" t="s">
        <v>7650</v>
      </c>
      <c r="D635" s="233" t="s">
        <v>7652</v>
      </c>
      <c r="E635" s="233"/>
      <c r="F635" s="101" t="s">
        <v>7651</v>
      </c>
      <c r="G635" s="157" t="s">
        <v>7649</v>
      </c>
      <c r="H635" s="101"/>
      <c r="I635" s="19"/>
      <c r="J635" s="10"/>
      <c r="K635" s="10"/>
      <c r="L635" s="19"/>
      <c r="M635" s="214"/>
      <c r="N635" s="220"/>
      <c r="O635" s="19"/>
      <c r="P635" s="19"/>
      <c r="Q635" s="19"/>
      <c r="R635" s="19"/>
      <c r="S635" s="214"/>
      <c r="T635" s="26"/>
      <c r="U635" s="659">
        <f t="shared" si="73"/>
        <v>-44640</v>
      </c>
      <c r="V635" s="220"/>
      <c r="W635" s="19"/>
    </row>
    <row r="636" spans="1:23" x14ac:dyDescent="0.25">
      <c r="A636" s="651">
        <v>623</v>
      </c>
      <c r="B636" s="19"/>
      <c r="C636" s="233"/>
      <c r="D636" s="233"/>
      <c r="E636" s="233"/>
      <c r="F636" s="101"/>
      <c r="G636" s="157"/>
      <c r="H636" s="101"/>
      <c r="I636" s="19"/>
      <c r="J636" s="10"/>
      <c r="K636" s="10"/>
      <c r="L636" s="19"/>
      <c r="M636" s="214"/>
      <c r="N636" s="220"/>
      <c r="O636" s="19"/>
      <c r="P636" s="19"/>
      <c r="Q636" s="19"/>
      <c r="R636" s="19"/>
      <c r="S636" s="214"/>
      <c r="T636" s="26"/>
      <c r="U636" s="659">
        <f t="shared" si="73"/>
        <v>-44640</v>
      </c>
      <c r="V636" s="220"/>
      <c r="W636" s="19"/>
    </row>
    <row r="637" spans="1:23" x14ac:dyDescent="0.25">
      <c r="A637" s="651">
        <v>624</v>
      </c>
      <c r="B637" s="19"/>
      <c r="C637" s="233"/>
      <c r="D637" s="233"/>
      <c r="E637" s="233"/>
      <c r="F637" s="101"/>
      <c r="G637" s="157"/>
      <c r="H637" s="101"/>
      <c r="I637" s="19"/>
      <c r="J637" s="10"/>
      <c r="K637" s="10"/>
      <c r="L637" s="19"/>
      <c r="M637" s="214"/>
      <c r="N637" s="220"/>
      <c r="O637" s="19"/>
      <c r="P637" s="19"/>
      <c r="Q637" s="19"/>
      <c r="R637" s="19"/>
      <c r="S637" s="214"/>
      <c r="T637" s="26"/>
      <c r="U637" s="659">
        <f t="shared" si="73"/>
        <v>-44640</v>
      </c>
      <c r="V637" s="220"/>
      <c r="W637" s="19"/>
    </row>
    <row r="638" spans="1:23" x14ac:dyDescent="0.25">
      <c r="A638" s="651">
        <v>625</v>
      </c>
      <c r="B638" s="19"/>
      <c r="C638" s="233"/>
      <c r="D638" s="233"/>
      <c r="E638" s="233"/>
      <c r="F638" s="101"/>
      <c r="G638" s="157"/>
      <c r="H638" s="101"/>
      <c r="I638" s="19"/>
      <c r="J638" s="10"/>
      <c r="K638" s="10"/>
      <c r="L638" s="19"/>
      <c r="M638" s="214"/>
      <c r="N638" s="220"/>
      <c r="O638" s="19"/>
      <c r="P638" s="19"/>
      <c r="Q638" s="19"/>
      <c r="R638" s="19"/>
      <c r="S638" s="214"/>
      <c r="T638" s="26"/>
      <c r="U638" s="220"/>
      <c r="V638" s="220"/>
      <c r="W638" s="19"/>
    </row>
    <row r="639" spans="1:23" x14ac:dyDescent="0.25">
      <c r="A639" s="651">
        <v>626</v>
      </c>
      <c r="B639" s="19"/>
      <c r="C639" s="233"/>
      <c r="D639" s="233"/>
      <c r="E639" s="233"/>
      <c r="F639" s="101"/>
      <c r="G639" s="157"/>
      <c r="H639" s="101"/>
      <c r="I639" s="19"/>
      <c r="J639" s="10"/>
      <c r="K639" s="10"/>
      <c r="L639" s="19"/>
      <c r="M639" s="214"/>
      <c r="N639" s="220"/>
      <c r="O639" s="19"/>
      <c r="P639" s="19"/>
      <c r="Q639" s="19"/>
      <c r="R639" s="19"/>
      <c r="S639" s="214"/>
      <c r="T639" s="26"/>
      <c r="U639" s="220"/>
      <c r="V639" s="220"/>
      <c r="W639" s="19"/>
    </row>
    <row r="640" spans="1:23" x14ac:dyDescent="0.25">
      <c r="A640" s="651">
        <v>627</v>
      </c>
      <c r="B640" s="19"/>
      <c r="C640" s="233"/>
      <c r="D640" s="233"/>
      <c r="E640" s="233"/>
      <c r="F640" s="101"/>
      <c r="G640" s="157"/>
      <c r="H640" s="101"/>
      <c r="I640" s="19"/>
      <c r="J640" s="10"/>
      <c r="K640" s="10"/>
      <c r="L640" s="19"/>
      <c r="M640" s="214"/>
      <c r="N640" s="220"/>
      <c r="O640" s="19"/>
      <c r="P640" s="19"/>
      <c r="Q640" s="19"/>
      <c r="R640" s="19"/>
      <c r="S640" s="214"/>
      <c r="T640" s="26"/>
      <c r="U640" s="220"/>
      <c r="V640" s="220"/>
      <c r="W640" s="19"/>
    </row>
    <row r="641" spans="1:23" x14ac:dyDescent="0.25">
      <c r="A641" s="651">
        <v>628</v>
      </c>
      <c r="B641" s="19"/>
      <c r="C641" s="233"/>
      <c r="D641" s="233"/>
      <c r="E641" s="233"/>
      <c r="F641" s="101"/>
      <c r="G641" s="157"/>
      <c r="H641" s="101"/>
      <c r="I641" s="19"/>
      <c r="J641" s="10"/>
      <c r="K641" s="10"/>
      <c r="L641" s="19"/>
      <c r="M641" s="214"/>
      <c r="N641" s="220"/>
      <c r="O641" s="19"/>
      <c r="P641" s="19"/>
      <c r="Q641" s="19"/>
      <c r="R641" s="19"/>
      <c r="S641" s="214"/>
      <c r="T641" s="26"/>
      <c r="U641" s="220"/>
      <c r="V641" s="220"/>
      <c r="W641" s="19"/>
    </row>
    <row r="642" spans="1:23" x14ac:dyDescent="0.25">
      <c r="A642" s="651">
        <v>629</v>
      </c>
      <c r="B642" s="19"/>
      <c r="C642" s="233"/>
      <c r="D642" s="233"/>
      <c r="E642" s="233"/>
      <c r="F642" s="101"/>
      <c r="G642" s="157"/>
      <c r="H642" s="101"/>
      <c r="I642" s="19"/>
      <c r="J642" s="10"/>
      <c r="K642" s="10"/>
      <c r="L642" s="19"/>
      <c r="M642" s="214"/>
      <c r="N642" s="220"/>
      <c r="O642" s="19"/>
      <c r="P642" s="19"/>
      <c r="Q642" s="19"/>
      <c r="R642" s="19"/>
      <c r="S642" s="214"/>
      <c r="T642" s="26"/>
      <c r="U642" s="220"/>
      <c r="V642" s="220"/>
      <c r="W642" s="19"/>
    </row>
    <row r="643" spans="1:23" x14ac:dyDescent="0.25">
      <c r="A643" s="651">
        <v>630</v>
      </c>
      <c r="B643" s="19"/>
      <c r="C643" s="233"/>
      <c r="D643" s="233"/>
      <c r="E643" s="233"/>
      <c r="F643" s="101"/>
      <c r="G643" s="157"/>
      <c r="H643" s="101"/>
      <c r="I643" s="19"/>
      <c r="J643" s="10"/>
      <c r="K643" s="10"/>
      <c r="L643" s="19"/>
      <c r="M643" s="214"/>
      <c r="N643" s="220"/>
      <c r="O643" s="19"/>
      <c r="P643" s="19"/>
      <c r="Q643" s="19"/>
      <c r="R643" s="19"/>
      <c r="S643" s="214"/>
      <c r="T643" s="26"/>
      <c r="U643" s="220"/>
      <c r="V643" s="220"/>
      <c r="W643" s="19"/>
    </row>
    <row r="644" spans="1:23" x14ac:dyDescent="0.25">
      <c r="A644" s="651">
        <v>631</v>
      </c>
      <c r="B644" s="19"/>
      <c r="C644" s="233"/>
      <c r="D644" s="233"/>
      <c r="E644" s="233"/>
      <c r="F644" s="101"/>
      <c r="G644" s="157"/>
      <c r="H644" s="101"/>
      <c r="I644" s="19"/>
      <c r="J644" s="10"/>
      <c r="K644" s="10"/>
      <c r="L644" s="19"/>
      <c r="M644" s="214"/>
      <c r="N644" s="220"/>
      <c r="O644" s="19"/>
      <c r="P644" s="19"/>
      <c r="Q644" s="19"/>
      <c r="R644" s="19"/>
      <c r="S644" s="214"/>
      <c r="T644" s="26"/>
      <c r="U644" s="220"/>
      <c r="V644" s="220"/>
      <c r="W644" s="19"/>
    </row>
    <row r="645" spans="1:23" x14ac:dyDescent="0.25">
      <c r="A645" s="651">
        <v>632</v>
      </c>
      <c r="B645" s="19"/>
      <c r="C645" s="233"/>
      <c r="D645" s="233"/>
      <c r="E645" s="233"/>
      <c r="F645" s="101"/>
      <c r="G645" s="157"/>
      <c r="H645" s="101"/>
      <c r="I645" s="19"/>
      <c r="J645" s="10"/>
      <c r="K645" s="10"/>
      <c r="L645" s="19"/>
      <c r="M645" s="214"/>
      <c r="N645" s="220"/>
      <c r="O645" s="19"/>
      <c r="P645" s="19"/>
      <c r="Q645" s="19"/>
      <c r="R645" s="19"/>
      <c r="S645" s="214"/>
      <c r="T645" s="26"/>
      <c r="U645" s="220"/>
      <c r="V645" s="220"/>
      <c r="W645" s="19"/>
    </row>
    <row r="646" spans="1:23" x14ac:dyDescent="0.25">
      <c r="A646" s="651">
        <v>633</v>
      </c>
      <c r="B646" s="19"/>
      <c r="C646" s="233"/>
      <c r="D646" s="233"/>
      <c r="E646" s="233"/>
      <c r="F646" s="101"/>
      <c r="G646" s="157"/>
      <c r="H646" s="101"/>
      <c r="I646" s="19"/>
      <c r="J646" s="10"/>
      <c r="K646" s="10"/>
      <c r="L646" s="19"/>
      <c r="M646" s="214"/>
      <c r="N646" s="220"/>
      <c r="O646" s="19"/>
      <c r="P646" s="19"/>
      <c r="Q646" s="19"/>
      <c r="R646" s="19"/>
      <c r="S646" s="214"/>
      <c r="T646" s="26"/>
      <c r="U646" s="220"/>
      <c r="V646" s="220"/>
      <c r="W646" s="19"/>
    </row>
    <row r="647" spans="1:23" x14ac:dyDescent="0.25">
      <c r="A647" s="651">
        <v>634</v>
      </c>
      <c r="B647" s="19"/>
      <c r="C647" s="233"/>
      <c r="D647" s="233"/>
      <c r="E647" s="233"/>
      <c r="F647" s="101"/>
      <c r="G647" s="157"/>
      <c r="H647" s="101"/>
      <c r="I647" s="19"/>
      <c r="J647" s="10"/>
      <c r="K647" s="10"/>
      <c r="L647" s="19"/>
      <c r="M647" s="214"/>
      <c r="N647" s="220"/>
      <c r="O647" s="19"/>
      <c r="P647" s="19"/>
      <c r="Q647" s="19"/>
      <c r="R647" s="19"/>
      <c r="S647" s="214"/>
      <c r="T647" s="26"/>
      <c r="U647" s="220"/>
      <c r="V647" s="220"/>
      <c r="W647" s="19"/>
    </row>
    <row r="648" spans="1:23" x14ac:dyDescent="0.25">
      <c r="A648" s="651">
        <v>635</v>
      </c>
      <c r="B648" s="19"/>
      <c r="C648" s="233"/>
      <c r="D648" s="233"/>
      <c r="E648" s="233"/>
      <c r="F648" s="101"/>
      <c r="G648" s="157"/>
      <c r="H648" s="101"/>
      <c r="I648" s="19"/>
      <c r="J648" s="10"/>
      <c r="K648" s="10"/>
      <c r="L648" s="19"/>
      <c r="M648" s="214"/>
      <c r="N648" s="220"/>
      <c r="O648" s="19"/>
      <c r="P648" s="19"/>
      <c r="Q648" s="19"/>
      <c r="R648" s="19"/>
      <c r="S648" s="214"/>
      <c r="T648" s="26"/>
      <c r="U648" s="220"/>
      <c r="V648" s="220"/>
      <c r="W648" s="19"/>
    </row>
    <row r="649" spans="1:23" x14ac:dyDescent="0.25">
      <c r="A649" s="651">
        <v>636</v>
      </c>
      <c r="B649" s="19"/>
      <c r="C649" s="233"/>
      <c r="D649" s="233"/>
      <c r="E649" s="233"/>
      <c r="F649" s="101"/>
      <c r="G649" s="157"/>
      <c r="H649" s="101"/>
      <c r="I649" s="19"/>
      <c r="J649" s="10"/>
      <c r="K649" s="10"/>
      <c r="L649" s="19"/>
      <c r="M649" s="214"/>
      <c r="N649" s="220"/>
      <c r="O649" s="19"/>
      <c r="P649" s="19"/>
      <c r="Q649" s="19"/>
      <c r="R649" s="19"/>
      <c r="S649" s="214"/>
      <c r="T649" s="26"/>
      <c r="U649" s="220"/>
      <c r="V649" s="220"/>
      <c r="W649" s="19"/>
    </row>
    <row r="650" spans="1:23" x14ac:dyDescent="0.25">
      <c r="A650" s="651">
        <v>637</v>
      </c>
      <c r="B650" s="19"/>
      <c r="C650" s="233"/>
      <c r="D650" s="233"/>
      <c r="E650" s="233"/>
      <c r="F650" s="101"/>
      <c r="G650" s="157"/>
      <c r="H650" s="101"/>
      <c r="I650" s="19"/>
      <c r="J650" s="10"/>
      <c r="K650" s="10"/>
      <c r="L650" s="19"/>
      <c r="M650" s="214"/>
      <c r="N650" s="220"/>
      <c r="O650" s="19"/>
      <c r="P650" s="19"/>
      <c r="Q650" s="19"/>
      <c r="R650" s="19"/>
      <c r="S650" s="214"/>
      <c r="T650" s="26"/>
      <c r="U650" s="220"/>
      <c r="V650" s="220"/>
      <c r="W650" s="19"/>
    </row>
    <row r="651" spans="1:23" x14ac:dyDescent="0.25">
      <c r="A651" s="651">
        <v>638</v>
      </c>
      <c r="B651" s="19"/>
      <c r="C651" s="233"/>
      <c r="D651" s="233"/>
      <c r="E651" s="233"/>
      <c r="F651" s="101"/>
      <c r="G651" s="157"/>
      <c r="H651" s="101"/>
      <c r="I651" s="19"/>
      <c r="J651" s="10"/>
      <c r="K651" s="10"/>
      <c r="L651" s="19"/>
      <c r="M651" s="214"/>
      <c r="N651" s="220"/>
      <c r="O651" s="19"/>
      <c r="P651" s="19"/>
      <c r="Q651" s="19"/>
      <c r="R651" s="19"/>
      <c r="S651" s="214"/>
      <c r="T651" s="26"/>
      <c r="U651" s="220"/>
      <c r="V651" s="220"/>
      <c r="W651" s="19"/>
    </row>
    <row r="652" spans="1:23" x14ac:dyDescent="0.25">
      <c r="A652" s="651">
        <v>639</v>
      </c>
      <c r="B652" s="19"/>
      <c r="C652" s="233"/>
      <c r="D652" s="233"/>
      <c r="E652" s="233"/>
      <c r="F652" s="101"/>
      <c r="G652" s="157"/>
      <c r="H652" s="101"/>
      <c r="I652" s="19"/>
      <c r="J652" s="10"/>
      <c r="K652" s="10"/>
      <c r="L652" s="19"/>
      <c r="M652" s="214"/>
      <c r="N652" s="220"/>
      <c r="O652" s="19"/>
      <c r="P652" s="19"/>
      <c r="Q652" s="19"/>
      <c r="R652" s="19"/>
      <c r="S652" s="214"/>
      <c r="T652" s="26"/>
      <c r="U652" s="220"/>
      <c r="V652" s="220"/>
      <c r="W652" s="19"/>
    </row>
    <row r="653" spans="1:23" x14ac:dyDescent="0.25">
      <c r="A653" s="651">
        <v>640</v>
      </c>
      <c r="B653" s="19"/>
      <c r="C653" s="233"/>
      <c r="D653" s="233"/>
      <c r="E653" s="233"/>
      <c r="F653" s="101"/>
      <c r="G653" s="157"/>
      <c r="H653" s="101"/>
      <c r="I653" s="19"/>
      <c r="J653" s="10"/>
      <c r="K653" s="10"/>
      <c r="L653" s="19"/>
      <c r="M653" s="214"/>
      <c r="N653" s="220"/>
      <c r="O653" s="19"/>
      <c r="P653" s="19"/>
      <c r="Q653" s="19"/>
      <c r="R653" s="19"/>
      <c r="S653" s="214"/>
      <c r="T653" s="26"/>
      <c r="U653" s="220"/>
      <c r="V653" s="220"/>
      <c r="W653" s="19"/>
    </row>
    <row r="654" spans="1:23" x14ac:dyDescent="0.25">
      <c r="A654" s="651">
        <v>641</v>
      </c>
      <c r="B654" s="19"/>
      <c r="C654" s="233"/>
      <c r="D654" s="233"/>
      <c r="E654" s="233"/>
      <c r="F654" s="101"/>
      <c r="G654" s="157"/>
      <c r="H654" s="101"/>
      <c r="I654" s="19"/>
      <c r="J654" s="10"/>
      <c r="K654" s="10"/>
      <c r="L654" s="19"/>
      <c r="M654" s="214"/>
      <c r="N654" s="220"/>
      <c r="O654" s="19"/>
      <c r="P654" s="19"/>
      <c r="Q654" s="19"/>
      <c r="R654" s="19"/>
      <c r="S654" s="214"/>
      <c r="T654" s="26"/>
      <c r="U654" s="220"/>
      <c r="V654" s="220"/>
      <c r="W654" s="19"/>
    </row>
    <row r="655" spans="1:23" x14ac:dyDescent="0.25">
      <c r="A655" s="651">
        <v>642</v>
      </c>
      <c r="B655" s="19"/>
      <c r="C655" s="233"/>
      <c r="D655" s="233"/>
      <c r="E655" s="233"/>
      <c r="F655" s="101"/>
      <c r="G655" s="157"/>
      <c r="H655" s="101"/>
      <c r="I655" s="19"/>
      <c r="J655" s="10"/>
      <c r="K655" s="10"/>
      <c r="L655" s="19"/>
      <c r="M655" s="214"/>
      <c r="N655" s="220"/>
      <c r="O655" s="19"/>
      <c r="P655" s="19"/>
      <c r="Q655" s="19"/>
      <c r="R655" s="19"/>
      <c r="S655" s="214"/>
      <c r="T655" s="26"/>
      <c r="U655" s="220"/>
      <c r="V655" s="220"/>
      <c r="W655" s="19"/>
    </row>
    <row r="656" spans="1:23" x14ac:dyDescent="0.25">
      <c r="A656" s="651">
        <v>643</v>
      </c>
      <c r="B656" s="19"/>
      <c r="C656" s="233"/>
      <c r="D656" s="233"/>
      <c r="E656" s="233"/>
      <c r="F656" s="101"/>
      <c r="G656" s="157"/>
      <c r="H656" s="101"/>
      <c r="I656" s="19"/>
      <c r="J656" s="10"/>
      <c r="K656" s="10"/>
      <c r="L656" s="19"/>
      <c r="M656" s="214"/>
      <c r="N656" s="220"/>
      <c r="O656" s="19"/>
      <c r="P656" s="19"/>
      <c r="Q656" s="19"/>
      <c r="R656" s="19"/>
      <c r="S656" s="214"/>
      <c r="T656" s="26"/>
      <c r="U656" s="220"/>
      <c r="V656" s="220"/>
      <c r="W656" s="19"/>
    </row>
    <row r="657" spans="1:23" x14ac:dyDescent="0.25">
      <c r="A657" s="651">
        <v>644</v>
      </c>
      <c r="B657" s="19"/>
      <c r="C657" s="233"/>
      <c r="D657" s="233"/>
      <c r="E657" s="233"/>
      <c r="F657" s="101"/>
      <c r="G657" s="157"/>
      <c r="H657" s="101"/>
      <c r="I657" s="19"/>
      <c r="J657" s="10"/>
      <c r="K657" s="10"/>
      <c r="L657" s="19"/>
      <c r="M657" s="214"/>
      <c r="N657" s="220"/>
      <c r="O657" s="19"/>
      <c r="P657" s="19"/>
      <c r="Q657" s="19"/>
      <c r="R657" s="19"/>
      <c r="S657" s="214"/>
      <c r="T657" s="26"/>
      <c r="U657" s="220"/>
      <c r="V657" s="220"/>
      <c r="W657" s="19"/>
    </row>
    <row r="658" spans="1:23" x14ac:dyDescent="0.25">
      <c r="A658" s="651">
        <v>645</v>
      </c>
      <c r="B658" s="19"/>
      <c r="C658" s="233"/>
      <c r="D658" s="233"/>
      <c r="E658" s="233"/>
      <c r="F658" s="101"/>
      <c r="G658" s="157"/>
      <c r="H658" s="101"/>
      <c r="I658" s="19"/>
      <c r="J658" s="10"/>
      <c r="K658" s="10"/>
      <c r="L658" s="19"/>
      <c r="M658" s="214"/>
      <c r="N658" s="220"/>
      <c r="O658" s="19"/>
      <c r="P658" s="19"/>
      <c r="Q658" s="19"/>
      <c r="R658" s="19"/>
      <c r="S658" s="214"/>
      <c r="T658" s="26"/>
      <c r="U658" s="220"/>
      <c r="V658" s="220"/>
      <c r="W658" s="19"/>
    </row>
    <row r="659" spans="1:23" x14ac:dyDescent="0.25">
      <c r="A659" s="651">
        <v>646</v>
      </c>
      <c r="B659" s="19"/>
      <c r="C659" s="233"/>
      <c r="D659" s="233"/>
      <c r="E659" s="233"/>
      <c r="F659" s="101"/>
      <c r="G659" s="157"/>
      <c r="H659" s="101"/>
      <c r="I659" s="19"/>
      <c r="J659" s="10"/>
      <c r="K659" s="10"/>
      <c r="L659" s="19"/>
      <c r="M659" s="214"/>
      <c r="N659" s="220"/>
      <c r="O659" s="19"/>
      <c r="P659" s="19"/>
      <c r="Q659" s="19"/>
      <c r="R659" s="19"/>
      <c r="S659" s="214"/>
      <c r="T659" s="26"/>
      <c r="U659" s="220"/>
      <c r="V659" s="220"/>
      <c r="W659" s="19"/>
    </row>
    <row r="660" spans="1:23" x14ac:dyDescent="0.25">
      <c r="A660" s="651">
        <v>647</v>
      </c>
      <c r="B660" s="19"/>
      <c r="C660" s="233"/>
      <c r="D660" s="233"/>
      <c r="E660" s="233"/>
      <c r="F660" s="101"/>
      <c r="G660" s="157"/>
      <c r="H660" s="101"/>
      <c r="I660" s="19"/>
      <c r="J660" s="10"/>
      <c r="K660" s="10"/>
      <c r="L660" s="19"/>
      <c r="M660" s="214"/>
      <c r="N660" s="220"/>
      <c r="O660" s="19"/>
      <c r="P660" s="19"/>
      <c r="Q660" s="19"/>
      <c r="R660" s="19"/>
      <c r="S660" s="214"/>
      <c r="T660" s="26"/>
      <c r="U660" s="220"/>
      <c r="V660" s="220"/>
      <c r="W660" s="19"/>
    </row>
    <row r="661" spans="1:23" x14ac:dyDescent="0.25">
      <c r="A661" s="651">
        <v>648</v>
      </c>
      <c r="B661" s="19"/>
      <c r="C661" s="233"/>
      <c r="D661" s="233"/>
      <c r="E661" s="233"/>
      <c r="F661" s="101"/>
      <c r="G661" s="157"/>
      <c r="H661" s="101"/>
      <c r="I661" s="19"/>
      <c r="J661" s="10"/>
      <c r="K661" s="10"/>
      <c r="L661" s="19"/>
      <c r="M661" s="214"/>
      <c r="N661" s="220"/>
      <c r="O661" s="19"/>
      <c r="P661" s="19"/>
      <c r="Q661" s="19"/>
      <c r="R661" s="19"/>
      <c r="S661" s="214"/>
      <c r="T661" s="26"/>
      <c r="U661" s="220"/>
      <c r="V661" s="220"/>
      <c r="W661" s="19"/>
    </row>
    <row r="662" spans="1:23" x14ac:dyDescent="0.25">
      <c r="A662" s="651">
        <v>649</v>
      </c>
      <c r="B662" s="19"/>
      <c r="C662" s="233"/>
      <c r="D662" s="233"/>
      <c r="E662" s="233"/>
      <c r="F662" s="101"/>
      <c r="G662" s="157"/>
      <c r="H662" s="101"/>
      <c r="I662" s="19"/>
      <c r="J662" s="10"/>
      <c r="K662" s="10"/>
      <c r="L662" s="19"/>
      <c r="M662" s="214"/>
      <c r="N662" s="220"/>
      <c r="O662" s="19"/>
      <c r="P662" s="19"/>
      <c r="Q662" s="19"/>
      <c r="R662" s="19"/>
      <c r="S662" s="214"/>
      <c r="T662" s="26"/>
      <c r="U662" s="220"/>
      <c r="V662" s="220"/>
      <c r="W662" s="19"/>
    </row>
    <row r="663" spans="1:23" x14ac:dyDescent="0.25">
      <c r="A663" s="651">
        <v>650</v>
      </c>
      <c r="B663" s="19"/>
      <c r="C663" s="233"/>
      <c r="D663" s="233"/>
      <c r="E663" s="233"/>
      <c r="F663" s="101"/>
      <c r="G663" s="157"/>
      <c r="H663" s="101"/>
      <c r="I663" s="19"/>
      <c r="J663" s="10"/>
      <c r="K663" s="10"/>
      <c r="L663" s="19"/>
      <c r="M663" s="214"/>
      <c r="N663" s="220"/>
      <c r="O663" s="19"/>
      <c r="P663" s="19"/>
      <c r="Q663" s="19"/>
      <c r="R663" s="19"/>
      <c r="S663" s="214"/>
      <c r="T663" s="26"/>
      <c r="U663" s="220"/>
      <c r="V663" s="220"/>
      <c r="W663" s="19"/>
    </row>
    <row r="664" spans="1:23" x14ac:dyDescent="0.25">
      <c r="A664" s="651">
        <v>651</v>
      </c>
      <c r="B664" s="19"/>
      <c r="C664" s="233"/>
      <c r="D664" s="233"/>
      <c r="E664" s="233"/>
      <c r="F664" s="101"/>
      <c r="G664" s="157"/>
      <c r="H664" s="101"/>
      <c r="I664" s="19"/>
      <c r="J664" s="10"/>
      <c r="K664" s="10"/>
      <c r="L664" s="19"/>
      <c r="M664" s="214"/>
      <c r="N664" s="220"/>
      <c r="O664" s="19"/>
      <c r="P664" s="19"/>
      <c r="Q664" s="19"/>
      <c r="R664" s="19"/>
      <c r="S664" s="214"/>
      <c r="T664" s="26"/>
      <c r="U664" s="220"/>
      <c r="V664" s="220"/>
      <c r="W664" s="19"/>
    </row>
    <row r="665" spans="1:23" x14ac:dyDescent="0.25">
      <c r="A665" s="651">
        <v>652</v>
      </c>
      <c r="B665" s="19"/>
      <c r="C665" s="233"/>
      <c r="D665" s="233"/>
      <c r="E665" s="233"/>
      <c r="F665" s="101"/>
      <c r="G665" s="157"/>
      <c r="H665" s="101"/>
      <c r="I665" s="19"/>
      <c r="J665" s="10"/>
      <c r="K665" s="10"/>
      <c r="L665" s="19"/>
      <c r="M665" s="214"/>
      <c r="N665" s="220"/>
      <c r="O665" s="19"/>
      <c r="P665" s="19"/>
      <c r="Q665" s="19"/>
      <c r="R665" s="19"/>
      <c r="S665" s="214"/>
      <c r="T665" s="26"/>
      <c r="U665" s="220"/>
      <c r="V665" s="220"/>
      <c r="W665" s="19"/>
    </row>
    <row r="666" spans="1:23" x14ac:dyDescent="0.25">
      <c r="A666" s="651">
        <v>653</v>
      </c>
      <c r="B666" s="19"/>
      <c r="C666" s="233"/>
      <c r="D666" s="233"/>
      <c r="E666" s="233"/>
      <c r="F666" s="101"/>
      <c r="G666" s="157"/>
      <c r="H666" s="101"/>
      <c r="I666" s="19"/>
      <c r="J666" s="10"/>
      <c r="K666" s="10"/>
      <c r="L666" s="19"/>
      <c r="M666" s="214"/>
      <c r="N666" s="220"/>
      <c r="O666" s="19"/>
      <c r="P666" s="19"/>
      <c r="Q666" s="19"/>
      <c r="R666" s="19"/>
      <c r="S666" s="214"/>
      <c r="T666" s="26"/>
      <c r="U666" s="220"/>
      <c r="V666" s="220"/>
      <c r="W666" s="19"/>
    </row>
    <row r="667" spans="1:23" x14ac:dyDescent="0.25">
      <c r="A667" s="651">
        <v>654</v>
      </c>
      <c r="B667" s="19"/>
      <c r="C667" s="233"/>
      <c r="D667" s="233"/>
      <c r="E667" s="233"/>
      <c r="F667" s="101"/>
      <c r="G667" s="157"/>
      <c r="H667" s="101"/>
      <c r="I667" s="19"/>
      <c r="J667" s="10"/>
      <c r="K667" s="10"/>
      <c r="L667" s="19"/>
      <c r="M667" s="214"/>
      <c r="N667" s="220"/>
      <c r="O667" s="19"/>
      <c r="P667" s="19"/>
      <c r="Q667" s="19"/>
      <c r="R667" s="19"/>
      <c r="S667" s="214"/>
      <c r="T667" s="26"/>
      <c r="U667" s="220"/>
      <c r="V667" s="220"/>
      <c r="W667" s="19"/>
    </row>
    <row r="668" spans="1:23" x14ac:dyDescent="0.25">
      <c r="A668" s="651">
        <v>655</v>
      </c>
      <c r="B668" s="19"/>
      <c r="C668" s="233"/>
      <c r="D668" s="233"/>
      <c r="E668" s="233"/>
      <c r="F668" s="101"/>
      <c r="G668" s="157"/>
      <c r="H668" s="101"/>
      <c r="I668" s="19"/>
      <c r="J668" s="10"/>
      <c r="K668" s="10"/>
      <c r="L668" s="19"/>
      <c r="M668" s="214"/>
      <c r="N668" s="220"/>
      <c r="O668" s="19"/>
      <c r="P668" s="19"/>
      <c r="Q668" s="19"/>
      <c r="R668" s="19"/>
      <c r="S668" s="214"/>
      <c r="T668" s="26"/>
      <c r="U668" s="220"/>
      <c r="V668" s="220"/>
      <c r="W668" s="19"/>
    </row>
    <row r="669" spans="1:23" x14ac:dyDescent="0.25">
      <c r="A669" s="651">
        <v>656</v>
      </c>
      <c r="B669" s="19"/>
      <c r="C669" s="233"/>
      <c r="D669" s="233"/>
      <c r="E669" s="233"/>
      <c r="F669" s="101"/>
      <c r="G669" s="157"/>
      <c r="H669" s="101"/>
      <c r="I669" s="19"/>
      <c r="J669" s="10"/>
      <c r="K669" s="10"/>
      <c r="L669" s="19"/>
      <c r="M669" s="214"/>
      <c r="N669" s="220"/>
      <c r="O669" s="19"/>
      <c r="P669" s="19"/>
      <c r="Q669" s="19"/>
      <c r="R669" s="19"/>
      <c r="S669" s="214"/>
      <c r="T669" s="26"/>
      <c r="U669" s="220"/>
      <c r="V669" s="220"/>
      <c r="W669" s="19"/>
    </row>
    <row r="670" spans="1:23" x14ac:dyDescent="0.25">
      <c r="A670" s="651">
        <v>657</v>
      </c>
      <c r="B670" s="19"/>
      <c r="C670" s="233"/>
      <c r="D670" s="233"/>
      <c r="E670" s="233"/>
      <c r="F670" s="101"/>
      <c r="G670" s="157"/>
      <c r="H670" s="101"/>
      <c r="I670" s="19"/>
      <c r="J670" s="10"/>
      <c r="K670" s="10"/>
      <c r="L670" s="19"/>
      <c r="M670" s="214"/>
      <c r="N670" s="220"/>
      <c r="O670" s="19"/>
      <c r="P670" s="19"/>
      <c r="Q670" s="19"/>
      <c r="R670" s="19"/>
      <c r="S670" s="214"/>
      <c r="T670" s="26"/>
      <c r="U670" s="220"/>
      <c r="V670" s="220"/>
      <c r="W670" s="19"/>
    </row>
    <row r="671" spans="1:23" x14ac:dyDescent="0.25">
      <c r="A671" s="651">
        <v>658</v>
      </c>
      <c r="B671" s="19"/>
      <c r="C671" s="233"/>
      <c r="D671" s="233"/>
      <c r="E671" s="233"/>
      <c r="F671" s="101"/>
      <c r="G671" s="157"/>
      <c r="H671" s="101"/>
      <c r="I671" s="19"/>
      <c r="J671" s="10"/>
      <c r="K671" s="10"/>
      <c r="L671" s="19"/>
      <c r="M671" s="214"/>
      <c r="N671" s="220"/>
      <c r="O671" s="19"/>
      <c r="P671" s="19"/>
      <c r="Q671" s="19"/>
      <c r="R671" s="19"/>
      <c r="S671" s="214"/>
      <c r="T671" s="26"/>
      <c r="U671" s="220"/>
      <c r="V671" s="220"/>
      <c r="W671" s="19"/>
    </row>
    <row r="672" spans="1:23" x14ac:dyDescent="0.25">
      <c r="A672" s="651">
        <v>659</v>
      </c>
      <c r="B672" s="19"/>
      <c r="C672" s="233"/>
      <c r="D672" s="233"/>
      <c r="E672" s="233"/>
      <c r="F672" s="101"/>
      <c r="G672" s="157"/>
      <c r="H672" s="101"/>
      <c r="I672" s="19"/>
      <c r="J672" s="10"/>
      <c r="K672" s="10"/>
      <c r="L672" s="19"/>
      <c r="M672" s="214"/>
      <c r="N672" s="220"/>
      <c r="O672" s="19"/>
      <c r="P672" s="19"/>
      <c r="Q672" s="19"/>
      <c r="R672" s="19"/>
      <c r="S672" s="214"/>
      <c r="T672" s="26"/>
      <c r="U672" s="220"/>
      <c r="V672" s="220"/>
      <c r="W672" s="19"/>
    </row>
    <row r="673" spans="1:23" x14ac:dyDescent="0.25">
      <c r="A673" s="651">
        <v>660</v>
      </c>
      <c r="B673" s="19"/>
      <c r="C673" s="233"/>
      <c r="D673" s="233"/>
      <c r="E673" s="233"/>
      <c r="F673" s="101"/>
      <c r="G673" s="157"/>
      <c r="H673" s="101"/>
      <c r="I673" s="19"/>
      <c r="J673" s="10"/>
      <c r="K673" s="10"/>
      <c r="L673" s="19"/>
      <c r="M673" s="214"/>
      <c r="N673" s="220"/>
      <c r="O673" s="19"/>
      <c r="P673" s="19"/>
      <c r="Q673" s="19"/>
      <c r="R673" s="19"/>
      <c r="S673" s="214"/>
      <c r="T673" s="26"/>
      <c r="U673" s="220"/>
      <c r="V673" s="220"/>
      <c r="W673" s="19"/>
    </row>
    <row r="674" spans="1:23" x14ac:dyDescent="0.25">
      <c r="A674" s="651">
        <v>661</v>
      </c>
      <c r="B674" s="19"/>
      <c r="C674" s="233"/>
      <c r="D674" s="233"/>
      <c r="E674" s="233"/>
      <c r="F674" s="101"/>
      <c r="G674" s="157"/>
      <c r="H674" s="101"/>
      <c r="I674" s="19"/>
      <c r="J674" s="10"/>
      <c r="K674" s="10"/>
      <c r="L674" s="19"/>
      <c r="M674" s="214"/>
      <c r="N674" s="220"/>
      <c r="O674" s="19"/>
      <c r="P674" s="19"/>
      <c r="Q674" s="19"/>
      <c r="R674" s="19"/>
      <c r="S674" s="214"/>
      <c r="T674" s="26"/>
      <c r="U674" s="220"/>
      <c r="V674" s="220"/>
      <c r="W674" s="19"/>
    </row>
    <row r="675" spans="1:23" x14ac:dyDescent="0.25">
      <c r="A675" s="651">
        <v>662</v>
      </c>
      <c r="B675" s="19"/>
      <c r="C675" s="233"/>
      <c r="D675" s="233"/>
      <c r="E675" s="233"/>
      <c r="F675" s="101"/>
      <c r="G675" s="157"/>
      <c r="H675" s="101"/>
      <c r="I675" s="19"/>
      <c r="J675" s="10"/>
      <c r="K675" s="10"/>
      <c r="L675" s="19"/>
      <c r="M675" s="214"/>
      <c r="N675" s="220"/>
      <c r="O675" s="19"/>
      <c r="P675" s="19"/>
      <c r="Q675" s="19"/>
      <c r="R675" s="19"/>
      <c r="S675" s="214"/>
      <c r="T675" s="26"/>
      <c r="U675" s="220"/>
      <c r="V675" s="220"/>
      <c r="W675" s="19"/>
    </row>
    <row r="676" spans="1:23" x14ac:dyDescent="0.25">
      <c r="A676" s="651">
        <v>663</v>
      </c>
      <c r="B676" s="19"/>
      <c r="C676" s="233"/>
      <c r="D676" s="233"/>
      <c r="E676" s="233"/>
      <c r="F676" s="101"/>
      <c r="G676" s="157"/>
      <c r="H676" s="101"/>
      <c r="I676" s="19"/>
      <c r="J676" s="10"/>
      <c r="K676" s="10"/>
      <c r="L676" s="19"/>
      <c r="M676" s="214"/>
      <c r="N676" s="220"/>
      <c r="O676" s="19"/>
      <c r="P676" s="19"/>
      <c r="Q676" s="19"/>
      <c r="R676" s="19"/>
      <c r="S676" s="214"/>
      <c r="T676" s="26"/>
      <c r="U676" s="220"/>
      <c r="V676" s="220"/>
      <c r="W676" s="19"/>
    </row>
    <row r="677" spans="1:23" x14ac:dyDescent="0.25">
      <c r="A677" s="651">
        <v>664</v>
      </c>
      <c r="B677" s="19"/>
      <c r="C677" s="233"/>
      <c r="D677" s="233"/>
      <c r="E677" s="233"/>
      <c r="F677" s="101"/>
      <c r="G677" s="157"/>
      <c r="H677" s="101"/>
      <c r="I677" s="19"/>
      <c r="J677" s="10"/>
      <c r="K677" s="10"/>
      <c r="L677" s="19"/>
      <c r="M677" s="214"/>
      <c r="N677" s="220"/>
      <c r="O677" s="19"/>
      <c r="P677" s="19"/>
      <c r="Q677" s="19"/>
      <c r="R677" s="19"/>
      <c r="S677" s="214"/>
      <c r="T677" s="26"/>
      <c r="U677" s="220"/>
      <c r="V677" s="220"/>
      <c r="W677" s="19"/>
    </row>
    <row r="678" spans="1:23" x14ac:dyDescent="0.25">
      <c r="A678" s="651">
        <v>665</v>
      </c>
      <c r="B678" s="19"/>
      <c r="C678" s="233"/>
      <c r="D678" s="233"/>
      <c r="E678" s="233"/>
      <c r="F678" s="101"/>
      <c r="G678" s="157"/>
      <c r="H678" s="101"/>
      <c r="I678" s="19"/>
      <c r="J678" s="10"/>
      <c r="K678" s="10"/>
      <c r="L678" s="19"/>
      <c r="M678" s="214"/>
      <c r="N678" s="220"/>
      <c r="O678" s="19"/>
      <c r="P678" s="19"/>
      <c r="Q678" s="19"/>
      <c r="R678" s="19"/>
      <c r="S678" s="214"/>
      <c r="T678" s="26"/>
      <c r="U678" s="220"/>
      <c r="V678" s="220"/>
      <c r="W678" s="19"/>
    </row>
    <row r="679" spans="1:23" x14ac:dyDescent="0.25">
      <c r="A679" s="651">
        <v>666</v>
      </c>
      <c r="B679" s="19"/>
      <c r="C679" s="233"/>
      <c r="D679" s="233"/>
      <c r="E679" s="233"/>
      <c r="F679" s="101"/>
      <c r="G679" s="157"/>
      <c r="H679" s="101"/>
      <c r="I679" s="19"/>
      <c r="J679" s="10"/>
      <c r="K679" s="10"/>
      <c r="L679" s="19"/>
      <c r="M679" s="214"/>
      <c r="N679" s="220"/>
      <c r="O679" s="19"/>
      <c r="P679" s="19"/>
      <c r="Q679" s="19"/>
      <c r="R679" s="19"/>
      <c r="S679" s="214"/>
      <c r="T679" s="26"/>
      <c r="U679" s="220"/>
      <c r="V679" s="220"/>
      <c r="W679" s="19"/>
    </row>
    <row r="680" spans="1:23" x14ac:dyDescent="0.25">
      <c r="A680" s="651">
        <v>667</v>
      </c>
      <c r="B680" s="19"/>
      <c r="C680" s="233"/>
      <c r="D680" s="233"/>
      <c r="E680" s="233"/>
      <c r="F680" s="101"/>
      <c r="G680" s="157"/>
      <c r="H680" s="101"/>
      <c r="I680" s="19"/>
      <c r="J680" s="10"/>
      <c r="K680" s="10"/>
      <c r="L680" s="19"/>
      <c r="M680" s="214"/>
      <c r="N680" s="220"/>
      <c r="O680" s="19"/>
      <c r="P680" s="19"/>
      <c r="Q680" s="19"/>
      <c r="R680" s="19"/>
      <c r="S680" s="214"/>
      <c r="T680" s="26"/>
      <c r="U680" s="220"/>
      <c r="V680" s="220"/>
      <c r="W680" s="19"/>
    </row>
    <row r="681" spans="1:23" x14ac:dyDescent="0.25">
      <c r="A681" s="651">
        <v>668</v>
      </c>
      <c r="B681" s="19"/>
      <c r="C681" s="233"/>
      <c r="D681" s="233"/>
      <c r="E681" s="233"/>
      <c r="F681" s="101"/>
      <c r="G681" s="157"/>
      <c r="H681" s="101"/>
      <c r="I681" s="19"/>
      <c r="J681" s="10"/>
      <c r="K681" s="10"/>
      <c r="L681" s="19"/>
      <c r="M681" s="214"/>
      <c r="N681" s="220"/>
      <c r="O681" s="19"/>
      <c r="P681" s="19"/>
      <c r="Q681" s="19"/>
      <c r="R681" s="19"/>
      <c r="S681" s="214"/>
      <c r="T681" s="26"/>
      <c r="U681" s="220"/>
      <c r="V681" s="220"/>
      <c r="W681" s="19"/>
    </row>
    <row r="682" spans="1:23" x14ac:dyDescent="0.25">
      <c r="A682" s="651">
        <v>669</v>
      </c>
      <c r="B682" s="19"/>
      <c r="C682" s="233"/>
      <c r="D682" s="233"/>
      <c r="E682" s="233"/>
      <c r="F682" s="101"/>
      <c r="G682" s="157"/>
      <c r="H682" s="101"/>
      <c r="I682" s="19"/>
      <c r="J682" s="10"/>
      <c r="K682" s="10"/>
      <c r="L682" s="19"/>
      <c r="M682" s="214"/>
      <c r="N682" s="220"/>
      <c r="O682" s="19"/>
      <c r="P682" s="19"/>
      <c r="Q682" s="19"/>
      <c r="R682" s="19"/>
      <c r="S682" s="214"/>
      <c r="T682" s="26"/>
      <c r="U682" s="220"/>
      <c r="V682" s="220"/>
      <c r="W682" s="19"/>
    </row>
    <row r="683" spans="1:23" x14ac:dyDescent="0.25">
      <c r="A683" s="651">
        <v>670</v>
      </c>
      <c r="B683" s="19"/>
      <c r="C683" s="233"/>
      <c r="D683" s="233"/>
      <c r="E683" s="233"/>
      <c r="F683" s="101"/>
      <c r="G683" s="157"/>
      <c r="H683" s="101"/>
      <c r="I683" s="19"/>
      <c r="J683" s="10"/>
      <c r="K683" s="10"/>
      <c r="L683" s="19"/>
      <c r="M683" s="214"/>
      <c r="N683" s="220"/>
      <c r="O683" s="19"/>
      <c r="P683" s="19"/>
      <c r="Q683" s="19"/>
      <c r="R683" s="19"/>
      <c r="S683" s="214"/>
      <c r="T683" s="26"/>
      <c r="U683" s="220"/>
      <c r="V683" s="220"/>
      <c r="W683" s="19"/>
    </row>
    <row r="684" spans="1:23" x14ac:dyDescent="0.25">
      <c r="A684" s="651">
        <v>671</v>
      </c>
      <c r="B684" s="19"/>
      <c r="C684" s="233"/>
      <c r="D684" s="233"/>
      <c r="E684" s="233"/>
      <c r="F684" s="101"/>
      <c r="G684" s="157"/>
      <c r="H684" s="101"/>
      <c r="I684" s="19"/>
      <c r="J684" s="10"/>
      <c r="K684" s="10"/>
      <c r="L684" s="19"/>
      <c r="M684" s="214"/>
      <c r="N684" s="220"/>
      <c r="O684" s="19"/>
      <c r="P684" s="19"/>
      <c r="Q684" s="19"/>
      <c r="R684" s="19"/>
      <c r="S684" s="214"/>
      <c r="T684" s="26"/>
      <c r="U684" s="220"/>
      <c r="V684" s="220"/>
      <c r="W684" s="19"/>
    </row>
    <row r="685" spans="1:23" x14ac:dyDescent="0.25">
      <c r="A685" s="651">
        <v>672</v>
      </c>
      <c r="B685" s="19"/>
      <c r="C685" s="233"/>
      <c r="D685" s="233"/>
      <c r="E685" s="233"/>
      <c r="F685" s="101"/>
      <c r="G685" s="157"/>
      <c r="H685" s="101"/>
      <c r="I685" s="19"/>
      <c r="J685" s="10"/>
      <c r="K685" s="10"/>
      <c r="L685" s="19"/>
      <c r="M685" s="214"/>
      <c r="N685" s="220"/>
      <c r="O685" s="19"/>
      <c r="P685" s="19"/>
      <c r="Q685" s="19"/>
      <c r="R685" s="19"/>
      <c r="S685" s="214"/>
      <c r="T685" s="26"/>
      <c r="U685" s="220"/>
      <c r="V685" s="220"/>
      <c r="W685" s="19"/>
    </row>
    <row r="686" spans="1:23" x14ac:dyDescent="0.25">
      <c r="A686" s="651">
        <v>673</v>
      </c>
      <c r="B686" s="19"/>
      <c r="C686" s="233"/>
      <c r="D686" s="233"/>
      <c r="E686" s="233"/>
      <c r="F686" s="101"/>
      <c r="G686" s="157"/>
      <c r="H686" s="101"/>
      <c r="I686" s="19"/>
      <c r="J686" s="10"/>
      <c r="K686" s="10"/>
      <c r="L686" s="19"/>
      <c r="M686" s="214"/>
      <c r="N686" s="220"/>
      <c r="O686" s="19"/>
      <c r="P686" s="19"/>
      <c r="Q686" s="19"/>
      <c r="R686" s="19"/>
      <c r="S686" s="214"/>
      <c r="T686" s="26"/>
      <c r="U686" s="220"/>
      <c r="V686" s="220"/>
      <c r="W686" s="19"/>
    </row>
    <row r="687" spans="1:23" x14ac:dyDescent="0.25">
      <c r="A687" s="651">
        <v>674</v>
      </c>
      <c r="B687" s="19"/>
      <c r="C687" s="233"/>
      <c r="D687" s="233"/>
      <c r="E687" s="233"/>
      <c r="F687" s="101"/>
      <c r="G687" s="157"/>
      <c r="H687" s="101"/>
      <c r="I687" s="19"/>
      <c r="J687" s="10"/>
      <c r="K687" s="10"/>
      <c r="L687" s="19"/>
      <c r="M687" s="214"/>
      <c r="N687" s="220"/>
      <c r="O687" s="19"/>
      <c r="P687" s="19"/>
      <c r="Q687" s="19"/>
      <c r="R687" s="19"/>
      <c r="S687" s="214"/>
      <c r="T687" s="26"/>
      <c r="U687" s="220"/>
      <c r="V687" s="220"/>
      <c r="W687" s="19"/>
    </row>
    <row r="688" spans="1:23" x14ac:dyDescent="0.25">
      <c r="A688" s="651">
        <v>675</v>
      </c>
      <c r="B688" s="19"/>
      <c r="C688" s="233"/>
      <c r="D688" s="233"/>
      <c r="E688" s="233"/>
      <c r="F688" s="101"/>
      <c r="G688" s="157"/>
      <c r="H688" s="101"/>
      <c r="I688" s="19"/>
      <c r="J688" s="10"/>
      <c r="K688" s="10"/>
      <c r="L688" s="19"/>
      <c r="M688" s="214"/>
      <c r="N688" s="220"/>
      <c r="O688" s="19"/>
      <c r="P688" s="19"/>
      <c r="Q688" s="19"/>
      <c r="R688" s="19"/>
      <c r="S688" s="214"/>
      <c r="T688" s="26"/>
      <c r="U688" s="220"/>
      <c r="V688" s="220"/>
      <c r="W688" s="19"/>
    </row>
    <row r="689" spans="1:23" x14ac:dyDescent="0.25">
      <c r="A689" s="651">
        <v>676</v>
      </c>
      <c r="B689" s="19"/>
      <c r="C689" s="233"/>
      <c r="D689" s="233"/>
      <c r="E689" s="233"/>
      <c r="F689" s="101"/>
      <c r="G689" s="157"/>
      <c r="H689" s="101"/>
      <c r="I689" s="19"/>
      <c r="J689" s="10"/>
      <c r="K689" s="10"/>
      <c r="L689" s="19"/>
      <c r="M689" s="214"/>
      <c r="N689" s="220"/>
      <c r="O689" s="19"/>
      <c r="P689" s="19"/>
      <c r="Q689" s="19"/>
      <c r="R689" s="19"/>
      <c r="S689" s="214"/>
      <c r="T689" s="26"/>
      <c r="U689" s="220"/>
      <c r="V689" s="220"/>
      <c r="W689" s="19"/>
    </row>
    <row r="690" spans="1:23" x14ac:dyDescent="0.25">
      <c r="A690" s="651">
        <v>677</v>
      </c>
      <c r="B690" s="19"/>
      <c r="C690" s="233"/>
      <c r="D690" s="233"/>
      <c r="E690" s="233"/>
      <c r="F690" s="101"/>
      <c r="G690" s="157"/>
      <c r="H690" s="101"/>
      <c r="I690" s="19"/>
      <c r="J690" s="10"/>
      <c r="K690" s="10"/>
      <c r="L690" s="19"/>
      <c r="M690" s="214"/>
      <c r="N690" s="220"/>
      <c r="O690" s="19"/>
      <c r="P690" s="19"/>
      <c r="Q690" s="19"/>
      <c r="R690" s="19"/>
      <c r="S690" s="214"/>
      <c r="T690" s="26"/>
      <c r="U690" s="220"/>
      <c r="V690" s="220"/>
      <c r="W690" s="19"/>
    </row>
    <row r="691" spans="1:23" x14ac:dyDescent="0.25">
      <c r="A691" s="651">
        <v>678</v>
      </c>
      <c r="B691" s="19"/>
      <c r="C691" s="233"/>
      <c r="D691" s="233"/>
      <c r="E691" s="233"/>
      <c r="F691" s="101"/>
      <c r="G691" s="157"/>
      <c r="H691" s="101"/>
      <c r="I691" s="19"/>
      <c r="J691" s="10"/>
      <c r="K691" s="10"/>
      <c r="L691" s="19"/>
      <c r="M691" s="214"/>
      <c r="N691" s="220"/>
      <c r="O691" s="19"/>
      <c r="P691" s="19"/>
      <c r="Q691" s="19"/>
      <c r="R691" s="19"/>
      <c r="S691" s="214"/>
      <c r="T691" s="26"/>
      <c r="U691" s="220"/>
      <c r="V691" s="220"/>
      <c r="W691" s="19"/>
    </row>
    <row r="692" spans="1:23" x14ac:dyDescent="0.25">
      <c r="A692" s="651">
        <v>679</v>
      </c>
      <c r="B692" s="19"/>
      <c r="C692" s="233"/>
      <c r="D692" s="233"/>
      <c r="E692" s="233"/>
      <c r="F692" s="101"/>
      <c r="G692" s="157"/>
      <c r="H692" s="101"/>
      <c r="I692" s="19"/>
      <c r="J692" s="10"/>
      <c r="K692" s="10"/>
      <c r="L692" s="19"/>
      <c r="M692" s="214"/>
      <c r="N692" s="220"/>
      <c r="O692" s="19"/>
      <c r="P692" s="19"/>
      <c r="Q692" s="19"/>
      <c r="R692" s="19"/>
      <c r="S692" s="214"/>
      <c r="T692" s="26"/>
      <c r="U692" s="220"/>
      <c r="V692" s="220"/>
      <c r="W692" s="19"/>
    </row>
    <row r="693" spans="1:23" x14ac:dyDescent="0.25">
      <c r="A693" s="651">
        <v>680</v>
      </c>
      <c r="B693" s="19"/>
      <c r="C693" s="233"/>
      <c r="D693" s="233"/>
      <c r="E693" s="233"/>
      <c r="F693" s="101"/>
      <c r="G693" s="157"/>
      <c r="H693" s="101"/>
      <c r="I693" s="19"/>
      <c r="J693" s="10"/>
      <c r="K693" s="10"/>
      <c r="L693" s="19"/>
      <c r="M693" s="214"/>
      <c r="N693" s="220"/>
      <c r="O693" s="19"/>
      <c r="P693" s="19"/>
      <c r="Q693" s="19"/>
      <c r="R693" s="19"/>
      <c r="S693" s="214"/>
      <c r="T693" s="26"/>
      <c r="U693" s="220"/>
      <c r="V693" s="220"/>
      <c r="W693" s="19"/>
    </row>
    <row r="694" spans="1:23" x14ac:dyDescent="0.25">
      <c r="A694" s="651">
        <v>681</v>
      </c>
      <c r="B694" s="19"/>
      <c r="C694" s="233"/>
      <c r="D694" s="233"/>
      <c r="E694" s="233"/>
      <c r="F694" s="101"/>
      <c r="G694" s="157"/>
      <c r="H694" s="101"/>
      <c r="I694" s="19"/>
      <c r="J694" s="10"/>
      <c r="K694" s="10"/>
      <c r="L694" s="19"/>
      <c r="M694" s="214"/>
      <c r="N694" s="220"/>
      <c r="O694" s="19"/>
      <c r="P694" s="19"/>
      <c r="Q694" s="19"/>
      <c r="R694" s="19"/>
      <c r="S694" s="214"/>
      <c r="T694" s="26"/>
      <c r="U694" s="220"/>
      <c r="V694" s="220"/>
      <c r="W694" s="19"/>
    </row>
    <row r="695" spans="1:23" x14ac:dyDescent="0.25">
      <c r="A695" s="651">
        <v>682</v>
      </c>
      <c r="B695" s="19"/>
      <c r="C695" s="233"/>
      <c r="D695" s="233"/>
      <c r="E695" s="233"/>
      <c r="F695" s="101"/>
      <c r="G695" s="157"/>
      <c r="H695" s="101"/>
      <c r="I695" s="19"/>
      <c r="J695" s="10"/>
      <c r="K695" s="10"/>
      <c r="L695" s="19"/>
      <c r="M695" s="214"/>
      <c r="N695" s="220"/>
      <c r="O695" s="19"/>
      <c r="P695" s="19"/>
      <c r="Q695" s="19"/>
      <c r="R695" s="19"/>
      <c r="S695" s="214"/>
      <c r="T695" s="26"/>
      <c r="U695" s="220"/>
      <c r="V695" s="220"/>
      <c r="W695" s="19"/>
    </row>
    <row r="696" spans="1:23" x14ac:dyDescent="0.25">
      <c r="A696" s="651">
        <v>683</v>
      </c>
      <c r="B696" s="19"/>
      <c r="C696" s="233"/>
      <c r="D696" s="233"/>
      <c r="E696" s="233"/>
      <c r="F696" s="101"/>
      <c r="G696" s="157"/>
      <c r="H696" s="101"/>
      <c r="I696" s="19"/>
      <c r="J696" s="10"/>
      <c r="K696" s="10"/>
      <c r="L696" s="19"/>
      <c r="M696" s="214"/>
      <c r="N696" s="220"/>
      <c r="O696" s="19"/>
      <c r="P696" s="19"/>
      <c r="Q696" s="19"/>
      <c r="R696" s="19"/>
      <c r="S696" s="214"/>
      <c r="T696" s="26"/>
      <c r="U696" s="220"/>
      <c r="V696" s="220"/>
      <c r="W696" s="19"/>
    </row>
    <row r="697" spans="1:23" x14ac:dyDescent="0.25">
      <c r="A697" s="651">
        <v>684</v>
      </c>
      <c r="B697" s="19"/>
      <c r="C697" s="233"/>
      <c r="D697" s="233"/>
      <c r="E697" s="233"/>
      <c r="F697" s="101"/>
      <c r="G697" s="157"/>
      <c r="H697" s="101"/>
      <c r="I697" s="19"/>
      <c r="J697" s="10"/>
      <c r="K697" s="10"/>
      <c r="L697" s="19"/>
      <c r="M697" s="214"/>
      <c r="N697" s="220"/>
      <c r="O697" s="19"/>
      <c r="P697" s="19"/>
      <c r="Q697" s="19"/>
      <c r="R697" s="19"/>
      <c r="S697" s="214"/>
      <c r="T697" s="26"/>
      <c r="U697" s="220"/>
      <c r="V697" s="220"/>
      <c r="W697" s="19"/>
    </row>
    <row r="698" spans="1:23" x14ac:dyDescent="0.25">
      <c r="A698" s="651">
        <v>685</v>
      </c>
      <c r="B698" s="19"/>
      <c r="C698" s="233"/>
      <c r="D698" s="233"/>
      <c r="E698" s="233"/>
      <c r="F698" s="101"/>
      <c r="G698" s="157"/>
      <c r="H698" s="101"/>
      <c r="I698" s="19"/>
      <c r="J698" s="10"/>
      <c r="K698" s="10"/>
      <c r="L698" s="19"/>
      <c r="M698" s="214"/>
      <c r="N698" s="220"/>
      <c r="O698" s="19"/>
      <c r="P698" s="19"/>
      <c r="Q698" s="19"/>
      <c r="R698" s="19"/>
      <c r="S698" s="214"/>
      <c r="T698" s="26"/>
      <c r="U698" s="220"/>
      <c r="V698" s="220"/>
      <c r="W698" s="19"/>
    </row>
    <row r="699" spans="1:23" x14ac:dyDescent="0.25">
      <c r="A699" s="651">
        <v>686</v>
      </c>
      <c r="B699" s="19"/>
      <c r="C699" s="233"/>
      <c r="D699" s="233"/>
      <c r="E699" s="233"/>
      <c r="F699" s="101"/>
      <c r="G699" s="157"/>
      <c r="H699" s="101"/>
      <c r="I699" s="19"/>
      <c r="J699" s="10"/>
      <c r="K699" s="10"/>
      <c r="L699" s="19"/>
      <c r="M699" s="214"/>
      <c r="N699" s="220"/>
      <c r="O699" s="19"/>
      <c r="P699" s="19"/>
      <c r="Q699" s="19"/>
      <c r="R699" s="19"/>
      <c r="S699" s="214"/>
      <c r="T699" s="26"/>
      <c r="U699" s="220"/>
      <c r="V699" s="220"/>
      <c r="W699" s="19"/>
    </row>
    <row r="700" spans="1:23" x14ac:dyDescent="0.25">
      <c r="A700" s="651">
        <v>687</v>
      </c>
      <c r="B700" s="19"/>
      <c r="C700" s="233"/>
      <c r="D700" s="233"/>
      <c r="E700" s="233"/>
      <c r="F700" s="101"/>
      <c r="G700" s="157"/>
      <c r="H700" s="101"/>
      <c r="I700" s="19"/>
      <c r="J700" s="10"/>
      <c r="K700" s="10"/>
      <c r="L700" s="19"/>
      <c r="M700" s="214"/>
      <c r="N700" s="220"/>
      <c r="O700" s="19"/>
      <c r="P700" s="19"/>
      <c r="Q700" s="19"/>
      <c r="R700" s="19"/>
      <c r="S700" s="214"/>
      <c r="T700" s="26"/>
      <c r="U700" s="220"/>
      <c r="V700" s="220"/>
      <c r="W700" s="19"/>
    </row>
    <row r="701" spans="1:23" x14ac:dyDescent="0.25">
      <c r="A701" s="651">
        <v>688</v>
      </c>
      <c r="B701" s="19"/>
      <c r="C701" s="233"/>
      <c r="D701" s="233"/>
      <c r="E701" s="233"/>
      <c r="F701" s="101"/>
      <c r="G701" s="157"/>
      <c r="H701" s="101"/>
      <c r="I701" s="19"/>
      <c r="J701" s="10"/>
      <c r="K701" s="10"/>
      <c r="L701" s="19"/>
      <c r="M701" s="214"/>
      <c r="N701" s="220"/>
      <c r="O701" s="19"/>
      <c r="P701" s="19"/>
      <c r="Q701" s="19"/>
      <c r="R701" s="19"/>
      <c r="S701" s="214"/>
      <c r="T701" s="26"/>
      <c r="U701" s="220"/>
      <c r="V701" s="220"/>
      <c r="W701" s="19"/>
    </row>
    <row r="702" spans="1:23" x14ac:dyDescent="0.25">
      <c r="A702" s="651">
        <v>689</v>
      </c>
      <c r="B702" s="19"/>
      <c r="C702" s="233"/>
      <c r="D702" s="233"/>
      <c r="E702" s="233"/>
      <c r="F702" s="101"/>
      <c r="G702" s="157"/>
      <c r="H702" s="101"/>
      <c r="I702" s="19"/>
      <c r="J702" s="10"/>
      <c r="K702" s="10"/>
      <c r="L702" s="19"/>
      <c r="M702" s="214"/>
      <c r="N702" s="220"/>
      <c r="O702" s="19"/>
      <c r="P702" s="19"/>
      <c r="Q702" s="19"/>
      <c r="R702" s="19"/>
      <c r="S702" s="214"/>
      <c r="T702" s="26"/>
      <c r="U702" s="220"/>
      <c r="V702" s="220"/>
      <c r="W702" s="19"/>
    </row>
    <row r="703" spans="1:23" x14ac:dyDescent="0.25">
      <c r="A703" s="651">
        <v>690</v>
      </c>
      <c r="B703" s="19"/>
      <c r="C703" s="233"/>
      <c r="D703" s="233"/>
      <c r="E703" s="233"/>
      <c r="F703" s="101"/>
      <c r="G703" s="157"/>
      <c r="H703" s="101"/>
      <c r="I703" s="19"/>
      <c r="J703" s="10"/>
      <c r="K703" s="10"/>
      <c r="L703" s="19"/>
      <c r="M703" s="214"/>
      <c r="N703" s="220"/>
      <c r="O703" s="19"/>
      <c r="P703" s="19"/>
      <c r="Q703" s="19"/>
      <c r="R703" s="19"/>
      <c r="S703" s="214"/>
      <c r="T703" s="26"/>
      <c r="U703" s="220"/>
      <c r="V703" s="220"/>
      <c r="W703" s="19"/>
    </row>
    <row r="704" spans="1:23" x14ac:dyDescent="0.25">
      <c r="A704" s="651">
        <v>691</v>
      </c>
      <c r="B704" s="19"/>
      <c r="C704" s="233"/>
      <c r="D704" s="233"/>
      <c r="E704" s="233"/>
      <c r="F704" s="101"/>
      <c r="G704" s="157"/>
      <c r="H704" s="101"/>
      <c r="I704" s="19"/>
      <c r="J704" s="10"/>
      <c r="K704" s="10"/>
      <c r="L704" s="19"/>
      <c r="M704" s="214"/>
      <c r="N704" s="220"/>
      <c r="O704" s="19"/>
      <c r="P704" s="19"/>
      <c r="Q704" s="19"/>
      <c r="R704" s="19"/>
      <c r="S704" s="214"/>
      <c r="T704" s="26"/>
      <c r="U704" s="220"/>
      <c r="V704" s="220"/>
      <c r="W704" s="19"/>
    </row>
    <row r="705" spans="1:23" x14ac:dyDescent="0.25">
      <c r="A705" s="651">
        <v>692</v>
      </c>
      <c r="B705" s="19"/>
      <c r="C705" s="233"/>
      <c r="D705" s="233"/>
      <c r="E705" s="233"/>
      <c r="F705" s="101"/>
      <c r="G705" s="157"/>
      <c r="H705" s="101"/>
      <c r="I705" s="19"/>
      <c r="J705" s="10"/>
      <c r="K705" s="10"/>
      <c r="L705" s="19"/>
      <c r="M705" s="214"/>
      <c r="N705" s="220"/>
      <c r="O705" s="19"/>
      <c r="P705" s="19"/>
      <c r="Q705" s="19"/>
      <c r="R705" s="19"/>
      <c r="S705" s="214"/>
      <c r="T705" s="26"/>
      <c r="U705" s="220"/>
      <c r="V705" s="220"/>
      <c r="W705" s="19"/>
    </row>
    <row r="706" spans="1:23" x14ac:dyDescent="0.25">
      <c r="A706" s="651">
        <v>693</v>
      </c>
      <c r="B706" s="19"/>
      <c r="C706" s="233"/>
      <c r="D706" s="233"/>
      <c r="E706" s="233"/>
      <c r="F706" s="101"/>
      <c r="G706" s="157"/>
      <c r="H706" s="101"/>
      <c r="I706" s="19"/>
      <c r="J706" s="10"/>
      <c r="K706" s="10"/>
      <c r="L706" s="19"/>
      <c r="M706" s="214"/>
      <c r="N706" s="220"/>
      <c r="O706" s="19"/>
      <c r="P706" s="19"/>
      <c r="Q706" s="19"/>
      <c r="R706" s="19"/>
      <c r="S706" s="214"/>
      <c r="T706" s="26"/>
      <c r="U706" s="220"/>
      <c r="V706" s="220"/>
      <c r="W706" s="19"/>
    </row>
    <row r="707" spans="1:23" x14ac:dyDescent="0.25">
      <c r="A707" s="651">
        <v>694</v>
      </c>
      <c r="B707" s="19"/>
      <c r="C707" s="233"/>
      <c r="D707" s="233"/>
      <c r="E707" s="233"/>
      <c r="F707" s="101"/>
      <c r="G707" s="157"/>
      <c r="H707" s="101"/>
      <c r="I707" s="19"/>
      <c r="J707" s="10"/>
      <c r="K707" s="10"/>
      <c r="L707" s="19"/>
      <c r="M707" s="214"/>
      <c r="N707" s="220"/>
      <c r="O707" s="19"/>
      <c r="P707" s="19"/>
      <c r="Q707" s="19"/>
      <c r="R707" s="19"/>
      <c r="S707" s="214"/>
      <c r="T707" s="26"/>
      <c r="U707" s="220"/>
      <c r="V707" s="220"/>
      <c r="W707" s="19"/>
    </row>
    <row r="708" spans="1:23" x14ac:dyDescent="0.25">
      <c r="A708" s="651">
        <v>695</v>
      </c>
      <c r="B708" s="19"/>
      <c r="C708" s="233"/>
      <c r="D708" s="233"/>
      <c r="E708" s="233"/>
      <c r="F708" s="101"/>
      <c r="G708" s="157"/>
      <c r="H708" s="101"/>
      <c r="I708" s="19"/>
      <c r="J708" s="10"/>
      <c r="K708" s="10"/>
      <c r="L708" s="19"/>
      <c r="M708" s="214"/>
      <c r="N708" s="220"/>
      <c r="O708" s="19"/>
      <c r="P708" s="19"/>
      <c r="Q708" s="19"/>
      <c r="R708" s="19"/>
      <c r="S708" s="214"/>
      <c r="T708" s="26"/>
      <c r="U708" s="220"/>
      <c r="V708" s="220"/>
      <c r="W708" s="19"/>
    </row>
    <row r="709" spans="1:23" x14ac:dyDescent="0.25">
      <c r="A709" s="651">
        <v>696</v>
      </c>
      <c r="B709" s="19"/>
      <c r="C709" s="233"/>
      <c r="D709" s="233"/>
      <c r="E709" s="233"/>
      <c r="F709" s="101"/>
      <c r="G709" s="157"/>
      <c r="H709" s="101"/>
      <c r="I709" s="19"/>
      <c r="J709" s="10"/>
      <c r="K709" s="10"/>
      <c r="L709" s="19"/>
      <c r="M709" s="214"/>
      <c r="N709" s="220"/>
      <c r="O709" s="19"/>
      <c r="P709" s="19"/>
      <c r="Q709" s="19"/>
      <c r="R709" s="19"/>
      <c r="S709" s="214"/>
      <c r="T709" s="26"/>
      <c r="U709" s="220"/>
      <c r="V709" s="220"/>
      <c r="W709" s="19"/>
    </row>
    <row r="710" spans="1:23" x14ac:dyDescent="0.25">
      <c r="A710" s="651">
        <v>697</v>
      </c>
      <c r="B710" s="19"/>
      <c r="C710" s="233"/>
      <c r="D710" s="233"/>
      <c r="E710" s="233"/>
      <c r="F710" s="101"/>
      <c r="G710" s="157"/>
      <c r="H710" s="101"/>
      <c r="I710" s="19"/>
      <c r="J710" s="10"/>
      <c r="K710" s="10"/>
      <c r="L710" s="19"/>
      <c r="M710" s="214"/>
      <c r="N710" s="220"/>
      <c r="O710" s="19"/>
      <c r="P710" s="19"/>
      <c r="Q710" s="19"/>
      <c r="R710" s="19"/>
      <c r="S710" s="214"/>
      <c r="T710" s="26"/>
      <c r="U710" s="220"/>
      <c r="V710" s="220"/>
      <c r="W710" s="19"/>
    </row>
    <row r="711" spans="1:23" x14ac:dyDescent="0.25">
      <c r="A711" s="651">
        <v>698</v>
      </c>
      <c r="B711" s="19"/>
      <c r="C711" s="233"/>
      <c r="D711" s="233"/>
      <c r="E711" s="233"/>
      <c r="F711" s="101"/>
      <c r="G711" s="157"/>
      <c r="H711" s="101"/>
      <c r="I711" s="19"/>
      <c r="J711" s="10"/>
      <c r="K711" s="10"/>
      <c r="L711" s="19"/>
      <c r="M711" s="214"/>
      <c r="N711" s="220"/>
      <c r="O711" s="19"/>
      <c r="P711" s="19"/>
      <c r="Q711" s="19"/>
      <c r="R711" s="19"/>
      <c r="S711" s="214"/>
      <c r="T711" s="26"/>
      <c r="U711" s="220"/>
      <c r="V711" s="220"/>
      <c r="W711" s="19"/>
    </row>
    <row r="712" spans="1:23" x14ac:dyDescent="0.25">
      <c r="A712" s="651">
        <v>699</v>
      </c>
      <c r="B712" s="19"/>
      <c r="C712" s="233"/>
      <c r="D712" s="233"/>
      <c r="E712" s="233"/>
      <c r="F712" s="101"/>
      <c r="G712" s="157"/>
      <c r="H712" s="101"/>
      <c r="I712" s="19"/>
      <c r="J712" s="10"/>
      <c r="K712" s="10"/>
      <c r="L712" s="19"/>
      <c r="M712" s="214"/>
      <c r="N712" s="220"/>
      <c r="O712" s="19"/>
      <c r="P712" s="19"/>
      <c r="Q712" s="19"/>
      <c r="R712" s="19"/>
      <c r="S712" s="214"/>
      <c r="T712" s="26"/>
      <c r="U712" s="220"/>
      <c r="V712" s="220"/>
      <c r="W712" s="19"/>
    </row>
    <row r="713" spans="1:23" x14ac:dyDescent="0.25">
      <c r="A713" s="651">
        <v>700</v>
      </c>
      <c r="B713" s="19"/>
      <c r="C713" s="233"/>
      <c r="D713" s="233"/>
      <c r="E713" s="233"/>
      <c r="F713" s="101"/>
      <c r="G713" s="157"/>
      <c r="H713" s="101"/>
      <c r="I713" s="19"/>
      <c r="J713" s="10"/>
      <c r="K713" s="10"/>
      <c r="L713" s="19"/>
      <c r="M713" s="214"/>
      <c r="N713" s="220"/>
      <c r="O713" s="19"/>
      <c r="P713" s="19"/>
      <c r="Q713" s="19"/>
      <c r="R713" s="19"/>
      <c r="S713" s="214"/>
      <c r="T713" s="26"/>
      <c r="U713" s="220"/>
      <c r="V713" s="220"/>
      <c r="W713" s="19"/>
    </row>
    <row r="714" spans="1:23" x14ac:dyDescent="0.25">
      <c r="A714" s="651">
        <v>701</v>
      </c>
      <c r="B714" s="19"/>
      <c r="C714" s="233"/>
      <c r="D714" s="233"/>
      <c r="E714" s="233"/>
      <c r="F714" s="101"/>
      <c r="G714" s="157"/>
      <c r="H714" s="101"/>
      <c r="I714" s="19"/>
      <c r="J714" s="10"/>
      <c r="K714" s="10"/>
      <c r="L714" s="19"/>
      <c r="M714" s="214"/>
      <c r="N714" s="220"/>
      <c r="O714" s="19"/>
      <c r="P714" s="19"/>
      <c r="Q714" s="19"/>
      <c r="R714" s="19"/>
      <c r="S714" s="214"/>
      <c r="T714" s="26"/>
      <c r="U714" s="220"/>
      <c r="V714" s="220"/>
      <c r="W714" s="19"/>
    </row>
    <row r="715" spans="1:23" x14ac:dyDescent="0.25">
      <c r="A715" s="651">
        <v>702</v>
      </c>
      <c r="B715" s="19"/>
      <c r="C715" s="233"/>
      <c r="D715" s="233"/>
      <c r="E715" s="233"/>
      <c r="F715" s="101"/>
      <c r="G715" s="157"/>
      <c r="H715" s="101"/>
      <c r="I715" s="19"/>
      <c r="J715" s="10"/>
      <c r="K715" s="10"/>
      <c r="L715" s="19"/>
      <c r="M715" s="214"/>
      <c r="N715" s="220"/>
      <c r="O715" s="19"/>
      <c r="P715" s="19"/>
      <c r="Q715" s="19"/>
      <c r="R715" s="19"/>
      <c r="S715" s="214"/>
      <c r="T715" s="26"/>
      <c r="U715" s="220"/>
      <c r="V715" s="220"/>
      <c r="W715" s="19"/>
    </row>
    <row r="716" spans="1:23" x14ac:dyDescent="0.25">
      <c r="A716" s="651">
        <v>703</v>
      </c>
      <c r="B716" s="19"/>
      <c r="C716" s="233"/>
      <c r="D716" s="233"/>
      <c r="E716" s="233"/>
      <c r="F716" s="101"/>
      <c r="G716" s="157"/>
      <c r="H716" s="101"/>
      <c r="I716" s="19"/>
      <c r="J716" s="10"/>
      <c r="K716" s="10"/>
      <c r="L716" s="19"/>
      <c r="M716" s="214"/>
      <c r="N716" s="220"/>
      <c r="O716" s="19"/>
      <c r="P716" s="19"/>
      <c r="Q716" s="19"/>
      <c r="R716" s="19"/>
      <c r="S716" s="214"/>
      <c r="T716" s="26"/>
      <c r="U716" s="220"/>
      <c r="V716" s="220"/>
      <c r="W716" s="19"/>
    </row>
    <row r="717" spans="1:23" x14ac:dyDescent="0.25">
      <c r="A717" s="651">
        <v>704</v>
      </c>
      <c r="B717" s="19"/>
      <c r="C717" s="233"/>
      <c r="D717" s="233"/>
      <c r="E717" s="233"/>
      <c r="F717" s="101"/>
      <c r="G717" s="157"/>
      <c r="H717" s="101"/>
      <c r="I717" s="19"/>
      <c r="J717" s="10"/>
      <c r="K717" s="10"/>
      <c r="L717" s="19"/>
      <c r="M717" s="214"/>
      <c r="N717" s="220"/>
      <c r="O717" s="19"/>
      <c r="P717" s="19"/>
      <c r="Q717" s="19"/>
      <c r="R717" s="19"/>
      <c r="S717" s="214"/>
      <c r="T717" s="26"/>
      <c r="U717" s="220"/>
      <c r="V717" s="220"/>
      <c r="W717" s="19"/>
    </row>
    <row r="718" spans="1:23" x14ac:dyDescent="0.25">
      <c r="A718" s="651">
        <v>705</v>
      </c>
      <c r="B718" s="19"/>
      <c r="C718" s="233"/>
      <c r="D718" s="233"/>
      <c r="E718" s="233"/>
      <c r="F718" s="101"/>
      <c r="G718" s="157"/>
      <c r="H718" s="101"/>
      <c r="I718" s="19"/>
      <c r="J718" s="10"/>
      <c r="K718" s="10"/>
      <c r="L718" s="19"/>
      <c r="M718" s="214"/>
      <c r="N718" s="220"/>
      <c r="O718" s="19"/>
      <c r="P718" s="19"/>
      <c r="Q718" s="19"/>
      <c r="R718" s="19"/>
      <c r="S718" s="214"/>
      <c r="T718" s="26"/>
      <c r="U718" s="220"/>
      <c r="V718" s="220"/>
      <c r="W718" s="19"/>
    </row>
    <row r="719" spans="1:23" x14ac:dyDescent="0.25">
      <c r="A719" s="651">
        <v>706</v>
      </c>
      <c r="B719" s="19"/>
      <c r="C719" s="233"/>
      <c r="D719" s="233"/>
      <c r="E719" s="233"/>
      <c r="F719" s="101"/>
      <c r="G719" s="157"/>
      <c r="H719" s="101"/>
      <c r="I719" s="19"/>
      <c r="J719" s="10"/>
      <c r="K719" s="10"/>
      <c r="L719" s="19"/>
      <c r="M719" s="214"/>
      <c r="N719" s="220"/>
      <c r="O719" s="19"/>
      <c r="P719" s="19"/>
      <c r="Q719" s="19"/>
      <c r="R719" s="19"/>
      <c r="S719" s="214"/>
      <c r="T719" s="26"/>
      <c r="U719" s="220"/>
      <c r="V719" s="220"/>
      <c r="W719" s="19"/>
    </row>
    <row r="720" spans="1:23" x14ac:dyDescent="0.25">
      <c r="A720" s="651">
        <v>707</v>
      </c>
      <c r="B720" s="19"/>
      <c r="C720" s="233"/>
      <c r="D720" s="233"/>
      <c r="E720" s="233"/>
      <c r="F720" s="101"/>
      <c r="G720" s="157"/>
      <c r="H720" s="101"/>
      <c r="I720" s="19"/>
      <c r="J720" s="10"/>
      <c r="K720" s="10"/>
      <c r="L720" s="19"/>
      <c r="M720" s="214"/>
      <c r="N720" s="220"/>
      <c r="O720" s="19"/>
      <c r="P720" s="19"/>
      <c r="Q720" s="19"/>
      <c r="R720" s="19"/>
      <c r="S720" s="214"/>
      <c r="T720" s="26"/>
      <c r="U720" s="220"/>
      <c r="V720" s="220"/>
      <c r="W720" s="19"/>
    </row>
    <row r="721" spans="1:23" x14ac:dyDescent="0.25">
      <c r="A721" s="651">
        <v>708</v>
      </c>
      <c r="B721" s="19"/>
      <c r="C721" s="233"/>
      <c r="D721" s="233"/>
      <c r="E721" s="233"/>
      <c r="F721" s="101"/>
      <c r="G721" s="157"/>
      <c r="H721" s="101"/>
      <c r="I721" s="19"/>
      <c r="J721" s="10"/>
      <c r="K721" s="10"/>
      <c r="L721" s="19"/>
      <c r="M721" s="214"/>
      <c r="N721" s="220"/>
      <c r="O721" s="19"/>
      <c r="P721" s="19"/>
      <c r="Q721" s="19"/>
      <c r="R721" s="19"/>
      <c r="S721" s="214"/>
      <c r="T721" s="26"/>
      <c r="U721" s="220"/>
      <c r="V721" s="220"/>
      <c r="W721" s="19"/>
    </row>
    <row r="722" spans="1:23" x14ac:dyDescent="0.25">
      <c r="A722" s="651">
        <v>709</v>
      </c>
      <c r="B722" s="19"/>
      <c r="C722" s="233"/>
      <c r="D722" s="233"/>
      <c r="E722" s="233"/>
      <c r="F722" s="101"/>
      <c r="G722" s="157"/>
      <c r="H722" s="101"/>
      <c r="I722" s="19"/>
      <c r="J722" s="10"/>
      <c r="K722" s="10"/>
      <c r="L722" s="19"/>
      <c r="M722" s="214"/>
      <c r="N722" s="220"/>
      <c r="O722" s="19"/>
      <c r="P722" s="19"/>
      <c r="Q722" s="19"/>
      <c r="R722" s="19"/>
      <c r="S722" s="214"/>
      <c r="T722" s="26"/>
      <c r="U722" s="220"/>
      <c r="V722" s="220"/>
      <c r="W722" s="19"/>
    </row>
    <row r="723" spans="1:23" x14ac:dyDescent="0.25">
      <c r="A723" s="651">
        <v>710</v>
      </c>
      <c r="B723" s="19"/>
      <c r="C723" s="233"/>
      <c r="D723" s="233"/>
      <c r="E723" s="233"/>
      <c r="F723" s="101"/>
      <c r="G723" s="157"/>
      <c r="H723" s="101"/>
      <c r="I723" s="19"/>
      <c r="J723" s="10"/>
      <c r="K723" s="10"/>
      <c r="L723" s="19"/>
      <c r="M723" s="214"/>
      <c r="N723" s="220"/>
      <c r="O723" s="19"/>
      <c r="P723" s="19"/>
      <c r="Q723" s="19"/>
      <c r="R723" s="19"/>
      <c r="S723" s="214"/>
      <c r="T723" s="26"/>
      <c r="U723" s="220"/>
      <c r="V723" s="220"/>
      <c r="W723" s="19"/>
    </row>
    <row r="724" spans="1:23" x14ac:dyDescent="0.25">
      <c r="A724" s="651">
        <v>711</v>
      </c>
      <c r="B724" s="19"/>
      <c r="C724" s="233"/>
      <c r="D724" s="233"/>
      <c r="E724" s="233"/>
      <c r="F724" s="101"/>
      <c r="G724" s="157"/>
      <c r="H724" s="101"/>
      <c r="I724" s="19"/>
      <c r="J724" s="10"/>
      <c r="K724" s="10"/>
      <c r="L724" s="19"/>
      <c r="M724" s="214"/>
      <c r="N724" s="220"/>
      <c r="O724" s="19"/>
      <c r="P724" s="19"/>
      <c r="Q724" s="19"/>
      <c r="R724" s="19"/>
      <c r="S724" s="214"/>
      <c r="T724" s="26"/>
      <c r="U724" s="220"/>
      <c r="V724" s="220"/>
      <c r="W724" s="19"/>
    </row>
    <row r="725" spans="1:23" x14ac:dyDescent="0.25">
      <c r="A725" s="651">
        <v>712</v>
      </c>
      <c r="B725" s="19"/>
      <c r="C725" s="233"/>
      <c r="D725" s="233"/>
      <c r="E725" s="233"/>
      <c r="F725" s="101"/>
      <c r="G725" s="157"/>
      <c r="H725" s="101"/>
      <c r="I725" s="19"/>
      <c r="J725" s="10"/>
      <c r="K725" s="10"/>
      <c r="L725" s="19"/>
      <c r="M725" s="214"/>
      <c r="N725" s="220"/>
      <c r="O725" s="19"/>
      <c r="P725" s="19"/>
      <c r="Q725" s="19"/>
      <c r="R725" s="19"/>
      <c r="S725" s="214"/>
      <c r="T725" s="26"/>
      <c r="U725" s="220"/>
      <c r="V725" s="220"/>
      <c r="W725" s="19"/>
    </row>
    <row r="726" spans="1:23" x14ac:dyDescent="0.25">
      <c r="A726" s="651">
        <v>713</v>
      </c>
      <c r="B726" s="19"/>
      <c r="C726" s="233"/>
      <c r="D726" s="233"/>
      <c r="E726" s="233"/>
      <c r="F726" s="101"/>
      <c r="G726" s="157"/>
      <c r="H726" s="101"/>
      <c r="I726" s="19"/>
      <c r="J726" s="10"/>
      <c r="K726" s="10"/>
      <c r="L726" s="19"/>
      <c r="M726" s="214"/>
      <c r="N726" s="220"/>
      <c r="O726" s="19"/>
      <c r="P726" s="19"/>
      <c r="Q726" s="19"/>
      <c r="R726" s="19"/>
      <c r="S726" s="214"/>
      <c r="T726" s="26"/>
      <c r="U726" s="220"/>
      <c r="V726" s="220"/>
      <c r="W726" s="19"/>
    </row>
    <row r="727" spans="1:23" x14ac:dyDescent="0.25">
      <c r="A727" s="651">
        <v>714</v>
      </c>
      <c r="B727" s="19"/>
      <c r="C727" s="233"/>
      <c r="D727" s="233"/>
      <c r="E727" s="233"/>
      <c r="F727" s="101"/>
      <c r="G727" s="157"/>
      <c r="H727" s="101"/>
      <c r="I727" s="19"/>
      <c r="J727" s="10"/>
      <c r="K727" s="10"/>
      <c r="L727" s="19"/>
      <c r="M727" s="214"/>
      <c r="N727" s="220"/>
      <c r="O727" s="19"/>
      <c r="P727" s="19"/>
      <c r="Q727" s="19"/>
      <c r="R727" s="19"/>
      <c r="S727" s="214"/>
      <c r="T727" s="26"/>
      <c r="U727" s="220"/>
      <c r="V727" s="220"/>
      <c r="W727" s="19"/>
    </row>
  </sheetData>
  <protectedRanges>
    <protectedRange sqref="C6:I6" name="NHAP_DL_10_1_2_34_9"/>
  </protectedRanges>
  <autoFilter ref="A4:AA727"/>
  <dataValidations count="3">
    <dataValidation type="list" allowBlank="1" showInputMessage="1" showErrorMessage="1" promptTitle="nhà cung cấp,Uyên Việt,tự xuất" sqref="WVW1:WVW4 N65612:N131138 JK65612:JK131138 TG65612:TG131138 ADC65612:ADC131138 AMY65612:AMY131138 AWU65612:AWU131138 BGQ65612:BGQ131138 BQM65612:BQM131138 CAI65612:CAI131138 CKE65612:CKE131138 CUA65612:CUA131138 DDW65612:DDW131138 DNS65612:DNS131138 DXO65612:DXO131138 EHK65612:EHK131138 ERG65612:ERG131138 FBC65612:FBC131138 FKY65612:FKY131138 FUU65612:FUU131138 GEQ65612:GEQ131138 GOM65612:GOM131138 GYI65612:GYI131138 HIE65612:HIE131138 HSA65612:HSA131138 IBW65612:IBW131138 ILS65612:ILS131138 IVO65612:IVO131138 JFK65612:JFK131138 JPG65612:JPG131138 JZC65612:JZC131138 KIY65612:KIY131138 KSU65612:KSU131138 LCQ65612:LCQ131138 LMM65612:LMM131138 LWI65612:LWI131138 MGE65612:MGE131138 MQA65612:MQA131138 MZW65612:MZW131138 NJS65612:NJS131138 NTO65612:NTO131138 ODK65612:ODK131138 ONG65612:ONG131138 OXC65612:OXC131138 PGY65612:PGY131138 PQU65612:PQU131138 QAQ65612:QAQ131138 QKM65612:QKM131138 QUI65612:QUI131138 REE65612:REE131138 ROA65612:ROA131138 RXW65612:RXW131138 SHS65612:SHS131138 SRO65612:SRO131138 TBK65612:TBK131138 TLG65612:TLG131138 TVC65612:TVC131138 UEY65612:UEY131138 UOU65612:UOU131138 UYQ65612:UYQ131138 VIM65612:VIM131138 VSI65612:VSI131138 WCE65612:WCE131138 WMA65612:WMA131138 WVW65612:WVW131138 N131148:N196674 JK131148:JK196674 TG131148:TG196674 ADC131148:ADC196674 AMY131148:AMY196674 AWU131148:AWU196674 BGQ131148:BGQ196674 BQM131148:BQM196674 CAI131148:CAI196674 CKE131148:CKE196674 CUA131148:CUA196674 DDW131148:DDW196674 DNS131148:DNS196674 DXO131148:DXO196674 EHK131148:EHK196674 ERG131148:ERG196674 FBC131148:FBC196674 FKY131148:FKY196674 FUU131148:FUU196674 GEQ131148:GEQ196674 GOM131148:GOM196674 GYI131148:GYI196674 HIE131148:HIE196674 HSA131148:HSA196674 IBW131148:IBW196674 ILS131148:ILS196674 IVO131148:IVO196674 JFK131148:JFK196674 JPG131148:JPG196674 JZC131148:JZC196674 KIY131148:KIY196674 KSU131148:KSU196674 LCQ131148:LCQ196674 LMM131148:LMM196674 LWI131148:LWI196674 MGE131148:MGE196674 MQA131148:MQA196674 MZW131148:MZW196674 NJS131148:NJS196674 NTO131148:NTO196674 ODK131148:ODK196674 ONG131148:ONG196674 OXC131148:OXC196674 PGY131148:PGY196674 PQU131148:PQU196674 QAQ131148:QAQ196674 QKM131148:QKM196674 QUI131148:QUI196674 REE131148:REE196674 ROA131148:ROA196674 RXW131148:RXW196674 SHS131148:SHS196674 SRO131148:SRO196674 TBK131148:TBK196674 TLG131148:TLG196674 TVC131148:TVC196674 UEY131148:UEY196674 UOU131148:UOU196674 UYQ131148:UYQ196674 VIM131148:VIM196674 VSI131148:VSI196674 WCE131148:WCE196674 WMA131148:WMA196674 WVW131148:WVW196674 N196684:N262210 JK196684:JK262210 TG196684:TG262210 ADC196684:ADC262210 AMY196684:AMY262210 AWU196684:AWU262210 BGQ196684:BGQ262210 BQM196684:BQM262210 CAI196684:CAI262210 CKE196684:CKE262210 CUA196684:CUA262210 DDW196684:DDW262210 DNS196684:DNS262210 DXO196684:DXO262210 EHK196684:EHK262210 ERG196684:ERG262210 FBC196684:FBC262210 FKY196684:FKY262210 FUU196684:FUU262210 GEQ196684:GEQ262210 GOM196684:GOM262210 GYI196684:GYI262210 HIE196684:HIE262210 HSA196684:HSA262210 IBW196684:IBW262210 ILS196684:ILS262210 IVO196684:IVO262210 JFK196684:JFK262210 JPG196684:JPG262210 JZC196684:JZC262210 KIY196684:KIY262210 KSU196684:KSU262210 LCQ196684:LCQ262210 LMM196684:LMM262210 LWI196684:LWI262210 MGE196684:MGE262210 MQA196684:MQA262210 MZW196684:MZW262210 NJS196684:NJS262210 NTO196684:NTO262210 ODK196684:ODK262210 ONG196684:ONG262210 OXC196684:OXC262210 PGY196684:PGY262210 PQU196684:PQU262210 QAQ196684:QAQ262210 QKM196684:QKM262210 QUI196684:QUI262210 REE196684:REE262210 ROA196684:ROA262210 RXW196684:RXW262210 SHS196684:SHS262210 SRO196684:SRO262210 TBK196684:TBK262210 TLG196684:TLG262210 TVC196684:TVC262210 UEY196684:UEY262210 UOU196684:UOU262210 UYQ196684:UYQ262210 VIM196684:VIM262210 VSI196684:VSI262210 WCE196684:WCE262210 WMA196684:WMA262210 WVW196684:WVW262210 N262220:N327746 JK262220:JK327746 TG262220:TG327746 ADC262220:ADC327746 AMY262220:AMY327746 AWU262220:AWU327746 BGQ262220:BGQ327746 BQM262220:BQM327746 CAI262220:CAI327746 CKE262220:CKE327746 CUA262220:CUA327746 DDW262220:DDW327746 DNS262220:DNS327746 DXO262220:DXO327746 EHK262220:EHK327746 ERG262220:ERG327746 FBC262220:FBC327746 FKY262220:FKY327746 FUU262220:FUU327746 GEQ262220:GEQ327746 GOM262220:GOM327746 GYI262220:GYI327746 HIE262220:HIE327746 HSA262220:HSA327746 IBW262220:IBW327746 ILS262220:ILS327746 IVO262220:IVO327746 JFK262220:JFK327746 JPG262220:JPG327746 JZC262220:JZC327746 KIY262220:KIY327746 KSU262220:KSU327746 LCQ262220:LCQ327746 LMM262220:LMM327746 LWI262220:LWI327746 MGE262220:MGE327746 MQA262220:MQA327746 MZW262220:MZW327746 NJS262220:NJS327746 NTO262220:NTO327746 ODK262220:ODK327746 ONG262220:ONG327746 OXC262220:OXC327746 PGY262220:PGY327746 PQU262220:PQU327746 QAQ262220:QAQ327746 QKM262220:QKM327746 QUI262220:QUI327746 REE262220:REE327746 ROA262220:ROA327746 RXW262220:RXW327746 SHS262220:SHS327746 SRO262220:SRO327746 TBK262220:TBK327746 TLG262220:TLG327746 TVC262220:TVC327746 UEY262220:UEY327746 UOU262220:UOU327746 UYQ262220:UYQ327746 VIM262220:VIM327746 VSI262220:VSI327746 WCE262220:WCE327746 WMA262220:WMA327746 WVW262220:WVW327746 N327756:N393282 JK327756:JK393282 TG327756:TG393282 ADC327756:ADC393282 AMY327756:AMY393282 AWU327756:AWU393282 BGQ327756:BGQ393282 BQM327756:BQM393282 CAI327756:CAI393282 CKE327756:CKE393282 CUA327756:CUA393282 DDW327756:DDW393282 DNS327756:DNS393282 DXO327756:DXO393282 EHK327756:EHK393282 ERG327756:ERG393282 FBC327756:FBC393282 FKY327756:FKY393282 FUU327756:FUU393282 GEQ327756:GEQ393282 GOM327756:GOM393282 GYI327756:GYI393282 HIE327756:HIE393282 HSA327756:HSA393282 IBW327756:IBW393282 ILS327756:ILS393282 IVO327756:IVO393282 JFK327756:JFK393282 JPG327756:JPG393282 JZC327756:JZC393282 KIY327756:KIY393282 KSU327756:KSU393282 LCQ327756:LCQ393282 LMM327756:LMM393282 LWI327756:LWI393282 MGE327756:MGE393282 MQA327756:MQA393282 MZW327756:MZW393282 NJS327756:NJS393282 NTO327756:NTO393282 ODK327756:ODK393282 ONG327756:ONG393282 OXC327756:OXC393282 PGY327756:PGY393282 PQU327756:PQU393282 QAQ327756:QAQ393282 QKM327756:QKM393282 QUI327756:QUI393282 REE327756:REE393282 ROA327756:ROA393282 RXW327756:RXW393282 SHS327756:SHS393282 SRO327756:SRO393282 TBK327756:TBK393282 TLG327756:TLG393282 TVC327756:TVC393282 UEY327756:UEY393282 UOU327756:UOU393282 UYQ327756:UYQ393282 VIM327756:VIM393282 VSI327756:VSI393282 WCE327756:WCE393282 WMA327756:WMA393282 WVW327756:WVW393282 N393292:N458818 JK393292:JK458818 TG393292:TG458818 ADC393292:ADC458818 AMY393292:AMY458818 AWU393292:AWU458818 BGQ393292:BGQ458818 BQM393292:BQM458818 CAI393292:CAI458818 CKE393292:CKE458818 CUA393292:CUA458818 DDW393292:DDW458818 DNS393292:DNS458818 DXO393292:DXO458818 EHK393292:EHK458818 ERG393292:ERG458818 FBC393292:FBC458818 FKY393292:FKY458818 FUU393292:FUU458818 GEQ393292:GEQ458818 GOM393292:GOM458818 GYI393292:GYI458818 HIE393292:HIE458818 HSA393292:HSA458818 IBW393292:IBW458818 ILS393292:ILS458818 IVO393292:IVO458818 JFK393292:JFK458818 JPG393292:JPG458818 JZC393292:JZC458818 KIY393292:KIY458818 KSU393292:KSU458818 LCQ393292:LCQ458818 LMM393292:LMM458818 LWI393292:LWI458818 MGE393292:MGE458818 MQA393292:MQA458818 MZW393292:MZW458818 NJS393292:NJS458818 NTO393292:NTO458818 ODK393292:ODK458818 ONG393292:ONG458818 OXC393292:OXC458818 PGY393292:PGY458818 PQU393292:PQU458818 QAQ393292:QAQ458818 QKM393292:QKM458818 QUI393292:QUI458818 REE393292:REE458818 ROA393292:ROA458818 RXW393292:RXW458818 SHS393292:SHS458818 SRO393292:SRO458818 TBK393292:TBK458818 TLG393292:TLG458818 TVC393292:TVC458818 UEY393292:UEY458818 UOU393292:UOU458818 UYQ393292:UYQ458818 VIM393292:VIM458818 VSI393292:VSI458818 WCE393292:WCE458818 WMA393292:WMA458818 WVW393292:WVW458818 N458828:N524354 JK458828:JK524354 TG458828:TG524354 ADC458828:ADC524354 AMY458828:AMY524354 AWU458828:AWU524354 BGQ458828:BGQ524354 BQM458828:BQM524354 CAI458828:CAI524354 CKE458828:CKE524354 CUA458828:CUA524354 DDW458828:DDW524354 DNS458828:DNS524354 DXO458828:DXO524354 EHK458828:EHK524354 ERG458828:ERG524354 FBC458828:FBC524354 FKY458828:FKY524354 FUU458828:FUU524354 GEQ458828:GEQ524354 GOM458828:GOM524354 GYI458828:GYI524354 HIE458828:HIE524354 HSA458828:HSA524354 IBW458828:IBW524354 ILS458828:ILS524354 IVO458828:IVO524354 JFK458828:JFK524354 JPG458828:JPG524354 JZC458828:JZC524354 KIY458828:KIY524354 KSU458828:KSU524354 LCQ458828:LCQ524354 LMM458828:LMM524354 LWI458828:LWI524354 MGE458828:MGE524354 MQA458828:MQA524354 MZW458828:MZW524354 NJS458828:NJS524354 NTO458828:NTO524354 ODK458828:ODK524354 ONG458828:ONG524354 OXC458828:OXC524354 PGY458828:PGY524354 PQU458828:PQU524354 QAQ458828:QAQ524354 QKM458828:QKM524354 QUI458828:QUI524354 REE458828:REE524354 ROA458828:ROA524354 RXW458828:RXW524354 SHS458828:SHS524354 SRO458828:SRO524354 TBK458828:TBK524354 TLG458828:TLG524354 TVC458828:TVC524354 UEY458828:UEY524354 UOU458828:UOU524354 UYQ458828:UYQ524354 VIM458828:VIM524354 VSI458828:VSI524354 WCE458828:WCE524354 WMA458828:WMA524354 WVW458828:WVW524354 N524364:N589890 JK524364:JK589890 TG524364:TG589890 ADC524364:ADC589890 AMY524364:AMY589890 AWU524364:AWU589890 BGQ524364:BGQ589890 BQM524364:BQM589890 CAI524364:CAI589890 CKE524364:CKE589890 CUA524364:CUA589890 DDW524364:DDW589890 DNS524364:DNS589890 DXO524364:DXO589890 EHK524364:EHK589890 ERG524364:ERG589890 FBC524364:FBC589890 FKY524364:FKY589890 FUU524364:FUU589890 GEQ524364:GEQ589890 GOM524364:GOM589890 GYI524364:GYI589890 HIE524364:HIE589890 HSA524364:HSA589890 IBW524364:IBW589890 ILS524364:ILS589890 IVO524364:IVO589890 JFK524364:JFK589890 JPG524364:JPG589890 JZC524364:JZC589890 KIY524364:KIY589890 KSU524364:KSU589890 LCQ524364:LCQ589890 LMM524364:LMM589890 LWI524364:LWI589890 MGE524364:MGE589890 MQA524364:MQA589890 MZW524364:MZW589890 NJS524364:NJS589890 NTO524364:NTO589890 ODK524364:ODK589890 ONG524364:ONG589890 OXC524364:OXC589890 PGY524364:PGY589890 PQU524364:PQU589890 QAQ524364:QAQ589890 QKM524364:QKM589890 QUI524364:QUI589890 REE524364:REE589890 ROA524364:ROA589890 RXW524364:RXW589890 SHS524364:SHS589890 SRO524364:SRO589890 TBK524364:TBK589890 TLG524364:TLG589890 TVC524364:TVC589890 UEY524364:UEY589890 UOU524364:UOU589890 UYQ524364:UYQ589890 VIM524364:VIM589890 VSI524364:VSI589890 WCE524364:WCE589890 WMA524364:WMA589890 WVW524364:WVW589890 N589900:N655426 JK589900:JK655426 TG589900:TG655426 ADC589900:ADC655426 AMY589900:AMY655426 AWU589900:AWU655426 BGQ589900:BGQ655426 BQM589900:BQM655426 CAI589900:CAI655426 CKE589900:CKE655426 CUA589900:CUA655426 DDW589900:DDW655426 DNS589900:DNS655426 DXO589900:DXO655426 EHK589900:EHK655426 ERG589900:ERG655426 FBC589900:FBC655426 FKY589900:FKY655426 FUU589900:FUU655426 GEQ589900:GEQ655426 GOM589900:GOM655426 GYI589900:GYI655426 HIE589900:HIE655426 HSA589900:HSA655426 IBW589900:IBW655426 ILS589900:ILS655426 IVO589900:IVO655426 JFK589900:JFK655426 JPG589900:JPG655426 JZC589900:JZC655426 KIY589900:KIY655426 KSU589900:KSU655426 LCQ589900:LCQ655426 LMM589900:LMM655426 LWI589900:LWI655426 MGE589900:MGE655426 MQA589900:MQA655426 MZW589900:MZW655426 NJS589900:NJS655426 NTO589900:NTO655426 ODK589900:ODK655426 ONG589900:ONG655426 OXC589900:OXC655426 PGY589900:PGY655426 PQU589900:PQU655426 QAQ589900:QAQ655426 QKM589900:QKM655426 QUI589900:QUI655426 REE589900:REE655426 ROA589900:ROA655426 RXW589900:RXW655426 SHS589900:SHS655426 SRO589900:SRO655426 TBK589900:TBK655426 TLG589900:TLG655426 TVC589900:TVC655426 UEY589900:UEY655426 UOU589900:UOU655426 UYQ589900:UYQ655426 VIM589900:VIM655426 VSI589900:VSI655426 WCE589900:WCE655426 WMA589900:WMA655426 WVW589900:WVW655426 N655436:N720962 JK655436:JK720962 TG655436:TG720962 ADC655436:ADC720962 AMY655436:AMY720962 AWU655436:AWU720962 BGQ655436:BGQ720962 BQM655436:BQM720962 CAI655436:CAI720962 CKE655436:CKE720962 CUA655436:CUA720962 DDW655436:DDW720962 DNS655436:DNS720962 DXO655436:DXO720962 EHK655436:EHK720962 ERG655436:ERG720962 FBC655436:FBC720962 FKY655436:FKY720962 FUU655436:FUU720962 GEQ655436:GEQ720962 GOM655436:GOM720962 GYI655436:GYI720962 HIE655436:HIE720962 HSA655436:HSA720962 IBW655436:IBW720962 ILS655436:ILS720962 IVO655436:IVO720962 JFK655436:JFK720962 JPG655436:JPG720962 JZC655436:JZC720962 KIY655436:KIY720962 KSU655436:KSU720962 LCQ655436:LCQ720962 LMM655436:LMM720962 LWI655436:LWI720962 MGE655436:MGE720962 MQA655436:MQA720962 MZW655436:MZW720962 NJS655436:NJS720962 NTO655436:NTO720962 ODK655436:ODK720962 ONG655436:ONG720962 OXC655436:OXC720962 PGY655436:PGY720962 PQU655436:PQU720962 QAQ655436:QAQ720962 QKM655436:QKM720962 QUI655436:QUI720962 REE655436:REE720962 ROA655436:ROA720962 RXW655436:RXW720962 SHS655436:SHS720962 SRO655436:SRO720962 TBK655436:TBK720962 TLG655436:TLG720962 TVC655436:TVC720962 UEY655436:UEY720962 UOU655436:UOU720962 UYQ655436:UYQ720962 VIM655436:VIM720962 VSI655436:VSI720962 WCE655436:WCE720962 WMA655436:WMA720962 WVW655436:WVW720962 N720972:N786498 JK720972:JK786498 TG720972:TG786498 ADC720972:ADC786498 AMY720972:AMY786498 AWU720972:AWU786498 BGQ720972:BGQ786498 BQM720972:BQM786498 CAI720972:CAI786498 CKE720972:CKE786498 CUA720972:CUA786498 DDW720972:DDW786498 DNS720972:DNS786498 DXO720972:DXO786498 EHK720972:EHK786498 ERG720972:ERG786498 FBC720972:FBC786498 FKY720972:FKY786498 FUU720972:FUU786498 GEQ720972:GEQ786498 GOM720972:GOM786498 GYI720972:GYI786498 HIE720972:HIE786498 HSA720972:HSA786498 IBW720972:IBW786498 ILS720972:ILS786498 IVO720972:IVO786498 JFK720972:JFK786498 JPG720972:JPG786498 JZC720972:JZC786498 KIY720972:KIY786498 KSU720972:KSU786498 LCQ720972:LCQ786498 LMM720972:LMM786498 LWI720972:LWI786498 MGE720972:MGE786498 MQA720972:MQA786498 MZW720972:MZW786498 NJS720972:NJS786498 NTO720972:NTO786498 ODK720972:ODK786498 ONG720972:ONG786498 OXC720972:OXC786498 PGY720972:PGY786498 PQU720972:PQU786498 QAQ720972:QAQ786498 QKM720972:QKM786498 QUI720972:QUI786498 REE720972:REE786498 ROA720972:ROA786498 RXW720972:RXW786498 SHS720972:SHS786498 SRO720972:SRO786498 TBK720972:TBK786498 TLG720972:TLG786498 TVC720972:TVC786498 UEY720972:UEY786498 UOU720972:UOU786498 UYQ720972:UYQ786498 VIM720972:VIM786498 VSI720972:VSI786498 WCE720972:WCE786498 WMA720972:WMA786498 WVW720972:WVW786498 N786508:N852034 JK786508:JK852034 TG786508:TG852034 ADC786508:ADC852034 AMY786508:AMY852034 AWU786508:AWU852034 BGQ786508:BGQ852034 BQM786508:BQM852034 CAI786508:CAI852034 CKE786508:CKE852034 CUA786508:CUA852034 DDW786508:DDW852034 DNS786508:DNS852034 DXO786508:DXO852034 EHK786508:EHK852034 ERG786508:ERG852034 FBC786508:FBC852034 FKY786508:FKY852034 FUU786508:FUU852034 GEQ786508:GEQ852034 GOM786508:GOM852034 GYI786508:GYI852034 HIE786508:HIE852034 HSA786508:HSA852034 IBW786508:IBW852034 ILS786508:ILS852034 IVO786508:IVO852034 JFK786508:JFK852034 JPG786508:JPG852034 JZC786508:JZC852034 KIY786508:KIY852034 KSU786508:KSU852034 LCQ786508:LCQ852034 LMM786508:LMM852034 LWI786508:LWI852034 MGE786508:MGE852034 MQA786508:MQA852034 MZW786508:MZW852034 NJS786508:NJS852034 NTO786508:NTO852034 ODK786508:ODK852034 ONG786508:ONG852034 OXC786508:OXC852034 PGY786508:PGY852034 PQU786508:PQU852034 QAQ786508:QAQ852034 QKM786508:QKM852034 QUI786508:QUI852034 REE786508:REE852034 ROA786508:ROA852034 RXW786508:RXW852034 SHS786508:SHS852034 SRO786508:SRO852034 TBK786508:TBK852034 TLG786508:TLG852034 TVC786508:TVC852034 UEY786508:UEY852034 UOU786508:UOU852034 UYQ786508:UYQ852034 VIM786508:VIM852034 VSI786508:VSI852034 WCE786508:WCE852034 WMA786508:WMA852034 WVW786508:WVW852034 N852044:N917570 JK852044:JK917570 TG852044:TG917570 ADC852044:ADC917570 AMY852044:AMY917570 AWU852044:AWU917570 BGQ852044:BGQ917570 BQM852044:BQM917570 CAI852044:CAI917570 CKE852044:CKE917570 CUA852044:CUA917570 DDW852044:DDW917570 DNS852044:DNS917570 DXO852044:DXO917570 EHK852044:EHK917570 ERG852044:ERG917570 FBC852044:FBC917570 FKY852044:FKY917570 FUU852044:FUU917570 GEQ852044:GEQ917570 GOM852044:GOM917570 GYI852044:GYI917570 HIE852044:HIE917570 HSA852044:HSA917570 IBW852044:IBW917570 ILS852044:ILS917570 IVO852044:IVO917570 JFK852044:JFK917570 JPG852044:JPG917570 JZC852044:JZC917570 KIY852044:KIY917570 KSU852044:KSU917570 LCQ852044:LCQ917570 LMM852044:LMM917570 LWI852044:LWI917570 MGE852044:MGE917570 MQA852044:MQA917570 MZW852044:MZW917570 NJS852044:NJS917570 NTO852044:NTO917570 ODK852044:ODK917570 ONG852044:ONG917570 OXC852044:OXC917570 PGY852044:PGY917570 PQU852044:PQU917570 QAQ852044:QAQ917570 QKM852044:QKM917570 QUI852044:QUI917570 REE852044:REE917570 ROA852044:ROA917570 RXW852044:RXW917570 SHS852044:SHS917570 SRO852044:SRO917570 TBK852044:TBK917570 TLG852044:TLG917570 TVC852044:TVC917570 UEY852044:UEY917570 UOU852044:UOU917570 UYQ852044:UYQ917570 VIM852044:VIM917570 VSI852044:VSI917570 WCE852044:WCE917570 WMA852044:WMA917570 WVW852044:WVW917570 N917580:N983106 JK917580:JK983106 TG917580:TG983106 ADC917580:ADC983106 AMY917580:AMY983106 AWU917580:AWU983106 BGQ917580:BGQ983106 BQM917580:BQM983106 CAI917580:CAI983106 CKE917580:CKE983106 CUA917580:CUA983106 DDW917580:DDW983106 DNS917580:DNS983106 DXO917580:DXO983106 EHK917580:EHK983106 ERG917580:ERG983106 FBC917580:FBC983106 FKY917580:FKY983106 FUU917580:FUU983106 GEQ917580:GEQ983106 GOM917580:GOM983106 GYI917580:GYI983106 HIE917580:HIE983106 HSA917580:HSA983106 IBW917580:IBW983106 ILS917580:ILS983106 IVO917580:IVO983106 JFK917580:JFK983106 JPG917580:JPG983106 JZC917580:JZC983106 KIY917580:KIY983106 KSU917580:KSU983106 LCQ917580:LCQ983106 LMM917580:LMM983106 LWI917580:LWI983106 MGE917580:MGE983106 MQA917580:MQA983106 MZW917580:MZW983106 NJS917580:NJS983106 NTO917580:NTO983106 ODK917580:ODK983106 ONG917580:ONG983106 OXC917580:OXC983106 PGY917580:PGY983106 PQU917580:PQU983106 QAQ917580:QAQ983106 QKM917580:QKM983106 QUI917580:QUI983106 REE917580:REE983106 ROA917580:ROA983106 RXW917580:RXW983106 SHS917580:SHS983106 SRO917580:SRO983106 TBK917580:TBK983106 TLG917580:TLG983106 TVC917580:TVC983106 UEY917580:UEY983106 UOU917580:UOU983106 UYQ917580:UYQ983106 VIM917580:VIM983106 VSI917580:VSI983106 WCE917580:WCE983106 WMA917580:WMA983106 WVW917580:WVW983106 N983116:N1048576 JK983116:JK1048576 TG983116:TG1048576 ADC983116:ADC1048576 AMY983116:AMY1048576 AWU983116:AWU1048576 BGQ983116:BGQ1048576 BQM983116:BQM1048576 CAI983116:CAI1048576 CKE983116:CKE1048576 CUA983116:CUA1048576 DDW983116:DDW1048576 DNS983116:DNS1048576 DXO983116:DXO1048576 EHK983116:EHK1048576 ERG983116:ERG1048576 FBC983116:FBC1048576 FKY983116:FKY1048576 FUU983116:FUU1048576 GEQ983116:GEQ1048576 GOM983116:GOM1048576 GYI983116:GYI1048576 HIE983116:HIE1048576 HSA983116:HSA1048576 IBW983116:IBW1048576 ILS983116:ILS1048576 IVO983116:IVO1048576 JFK983116:JFK1048576 JPG983116:JPG1048576 JZC983116:JZC1048576 KIY983116:KIY1048576 KSU983116:KSU1048576 LCQ983116:LCQ1048576 LMM983116:LMM1048576 LWI983116:LWI1048576 MGE983116:MGE1048576 MQA983116:MQA1048576 MZW983116:MZW1048576 NJS983116:NJS1048576 NTO983116:NTO1048576 ODK983116:ODK1048576 ONG983116:ONG1048576 OXC983116:OXC1048576 PGY983116:PGY1048576 PQU983116:PQU1048576 QAQ983116:QAQ1048576 QKM983116:QKM1048576 QUI983116:QUI1048576 REE983116:REE1048576 ROA983116:ROA1048576 RXW983116:RXW1048576 SHS983116:SHS1048576 SRO983116:SRO1048576 TBK983116:TBK1048576 TLG983116:TLG1048576 TVC983116:TVC1048576 UEY983116:UEY1048576 UOU983116:UOU1048576 UYQ983116:UYQ1048576 VIM983116:VIM1048576 VSI983116:VSI1048576 WCE983116:WCE1048576 WMA983116:WMA1048576 WVW983116:WVW1048576 N1:N4 JK1:JK4 TG1:TG4 ADC1:ADC4 AMY1:AMY4 AWU1:AWU4 BGQ1:BGQ4 BQM1:BQM4 CAI1:CAI4 CKE1:CKE4 CUA1:CUA4 DDW1:DDW4 DNS1:DNS4 DXO1:DXO4 EHK1:EHK4 ERG1:ERG4 FBC1:FBC4 FKY1:FKY4 FUU1:FUU4 GEQ1:GEQ4 GOM1:GOM4 GYI1:GYI4 HIE1:HIE4 HSA1:HSA4 IBW1:IBW4 ILS1:ILS4 IVO1:IVO4 JFK1:JFK4 JPG1:JPG4 JZC1:JZC4 KIY1:KIY4 KSU1:KSU4 LCQ1:LCQ4 LMM1:LMM4 LWI1:LWI4 MGE1:MGE4 MQA1:MQA4 MZW1:MZW4 NJS1:NJS4 NTO1:NTO4 ODK1:ODK4 ONG1:ONG4 OXC1:OXC4 PGY1:PGY4 PQU1:PQU4 QAQ1:QAQ4 QKM1:QKM4 QUI1:QUI4 REE1:REE4 ROA1:ROA4 RXW1:RXW4 SHS1:SHS4 SRO1:SRO4 TBK1:TBK4 TLG1:TLG4 TVC1:TVC4 UEY1:UEY4 UOU1:UOU4 UYQ1:UYQ4 VIM1:VIM4 VSI1:VSI4 WCE1:WCE4 WMA1:WMA4 N313 N343:N344 WVW14:WVW65602 JK14:JK65602 TG14:TG65602 ADC14:ADC65602 AMY14:AMY65602 AWU14:AWU65602 BGQ14:BGQ65602 BQM14:BQM65602 CAI14:CAI65602 CKE14:CKE65602 CUA14:CUA65602 DDW14:DDW65602 DNS14:DNS65602 DXO14:DXO65602 EHK14:EHK65602 ERG14:ERG65602 FBC14:FBC65602 FKY14:FKY65602 FUU14:FUU65602 GEQ14:GEQ65602 GOM14:GOM65602 GYI14:GYI65602 HIE14:HIE65602 HSA14:HSA65602 IBW14:IBW65602 ILS14:ILS65602 IVO14:IVO65602 JFK14:JFK65602 JPG14:JPG65602 JZC14:JZC65602 KIY14:KIY65602 KSU14:KSU65602 LCQ14:LCQ65602 LMM14:LMM65602 LWI14:LWI65602 MGE14:MGE65602 MQA14:MQA65602 MZW14:MZW65602 NJS14:NJS65602 NTO14:NTO65602 ODK14:ODK65602 ONG14:ONG65602 OXC14:OXC65602 PGY14:PGY65602 PQU14:PQU65602 QAQ14:QAQ65602 QKM14:QKM65602 QUI14:QUI65602 REE14:REE65602 ROA14:ROA65602 RXW14:RXW65602 SHS14:SHS65602 SRO14:SRO65602 TBK14:TBK65602 TLG14:TLG65602 TVC14:TVC65602 UEY14:UEY65602 UOU14:UOU65602 UYQ14:UYQ65602 VIM14:VIM65602 VSI14:VSI65602 WCE14:WCE65602 WMA14:WMA65602 N635:N65602">
      <formula1>"Nhà cung cấp xuất hộ,Uyên Việt xuất hộ,tự xuất"</formula1>
    </dataValidation>
    <dataValidation type="list" allowBlank="1" showInputMessage="1" showErrorMessage="1" sqref="WVT983116:WVT983121 K65612:K65617 JH65612:JH65617 TD65612:TD65617 ACZ65612:ACZ65617 AMV65612:AMV65617 AWR65612:AWR65617 BGN65612:BGN65617 BQJ65612:BQJ65617 CAF65612:CAF65617 CKB65612:CKB65617 CTX65612:CTX65617 DDT65612:DDT65617 DNP65612:DNP65617 DXL65612:DXL65617 EHH65612:EHH65617 ERD65612:ERD65617 FAZ65612:FAZ65617 FKV65612:FKV65617 FUR65612:FUR65617 GEN65612:GEN65617 GOJ65612:GOJ65617 GYF65612:GYF65617 HIB65612:HIB65617 HRX65612:HRX65617 IBT65612:IBT65617 ILP65612:ILP65617 IVL65612:IVL65617 JFH65612:JFH65617 JPD65612:JPD65617 JYZ65612:JYZ65617 KIV65612:KIV65617 KSR65612:KSR65617 LCN65612:LCN65617 LMJ65612:LMJ65617 LWF65612:LWF65617 MGB65612:MGB65617 MPX65612:MPX65617 MZT65612:MZT65617 NJP65612:NJP65617 NTL65612:NTL65617 ODH65612:ODH65617 OND65612:OND65617 OWZ65612:OWZ65617 PGV65612:PGV65617 PQR65612:PQR65617 QAN65612:QAN65617 QKJ65612:QKJ65617 QUF65612:QUF65617 REB65612:REB65617 RNX65612:RNX65617 RXT65612:RXT65617 SHP65612:SHP65617 SRL65612:SRL65617 TBH65612:TBH65617 TLD65612:TLD65617 TUZ65612:TUZ65617 UEV65612:UEV65617 UOR65612:UOR65617 UYN65612:UYN65617 VIJ65612:VIJ65617 VSF65612:VSF65617 WCB65612:WCB65617 WLX65612:WLX65617 WVT65612:WVT65617 K131148:K131153 JH131148:JH131153 TD131148:TD131153 ACZ131148:ACZ131153 AMV131148:AMV131153 AWR131148:AWR131153 BGN131148:BGN131153 BQJ131148:BQJ131153 CAF131148:CAF131153 CKB131148:CKB131153 CTX131148:CTX131153 DDT131148:DDT131153 DNP131148:DNP131153 DXL131148:DXL131153 EHH131148:EHH131153 ERD131148:ERD131153 FAZ131148:FAZ131153 FKV131148:FKV131153 FUR131148:FUR131153 GEN131148:GEN131153 GOJ131148:GOJ131153 GYF131148:GYF131153 HIB131148:HIB131153 HRX131148:HRX131153 IBT131148:IBT131153 ILP131148:ILP131153 IVL131148:IVL131153 JFH131148:JFH131153 JPD131148:JPD131153 JYZ131148:JYZ131153 KIV131148:KIV131153 KSR131148:KSR131153 LCN131148:LCN131153 LMJ131148:LMJ131153 LWF131148:LWF131153 MGB131148:MGB131153 MPX131148:MPX131153 MZT131148:MZT131153 NJP131148:NJP131153 NTL131148:NTL131153 ODH131148:ODH131153 OND131148:OND131153 OWZ131148:OWZ131153 PGV131148:PGV131153 PQR131148:PQR131153 QAN131148:QAN131153 QKJ131148:QKJ131153 QUF131148:QUF131153 REB131148:REB131153 RNX131148:RNX131153 RXT131148:RXT131153 SHP131148:SHP131153 SRL131148:SRL131153 TBH131148:TBH131153 TLD131148:TLD131153 TUZ131148:TUZ131153 UEV131148:UEV131153 UOR131148:UOR131153 UYN131148:UYN131153 VIJ131148:VIJ131153 VSF131148:VSF131153 WCB131148:WCB131153 WLX131148:WLX131153 WVT131148:WVT131153 K196684:K196689 JH196684:JH196689 TD196684:TD196689 ACZ196684:ACZ196689 AMV196684:AMV196689 AWR196684:AWR196689 BGN196684:BGN196689 BQJ196684:BQJ196689 CAF196684:CAF196689 CKB196684:CKB196689 CTX196684:CTX196689 DDT196684:DDT196689 DNP196684:DNP196689 DXL196684:DXL196689 EHH196684:EHH196689 ERD196684:ERD196689 FAZ196684:FAZ196689 FKV196684:FKV196689 FUR196684:FUR196689 GEN196684:GEN196689 GOJ196684:GOJ196689 GYF196684:GYF196689 HIB196684:HIB196689 HRX196684:HRX196689 IBT196684:IBT196689 ILP196684:ILP196689 IVL196684:IVL196689 JFH196684:JFH196689 JPD196684:JPD196689 JYZ196684:JYZ196689 KIV196684:KIV196689 KSR196684:KSR196689 LCN196684:LCN196689 LMJ196684:LMJ196689 LWF196684:LWF196689 MGB196684:MGB196689 MPX196684:MPX196689 MZT196684:MZT196689 NJP196684:NJP196689 NTL196684:NTL196689 ODH196684:ODH196689 OND196684:OND196689 OWZ196684:OWZ196689 PGV196684:PGV196689 PQR196684:PQR196689 QAN196684:QAN196689 QKJ196684:QKJ196689 QUF196684:QUF196689 REB196684:REB196689 RNX196684:RNX196689 RXT196684:RXT196689 SHP196684:SHP196689 SRL196684:SRL196689 TBH196684:TBH196689 TLD196684:TLD196689 TUZ196684:TUZ196689 UEV196684:UEV196689 UOR196684:UOR196689 UYN196684:UYN196689 VIJ196684:VIJ196689 VSF196684:VSF196689 WCB196684:WCB196689 WLX196684:WLX196689 WVT196684:WVT196689 K262220:K262225 JH262220:JH262225 TD262220:TD262225 ACZ262220:ACZ262225 AMV262220:AMV262225 AWR262220:AWR262225 BGN262220:BGN262225 BQJ262220:BQJ262225 CAF262220:CAF262225 CKB262220:CKB262225 CTX262220:CTX262225 DDT262220:DDT262225 DNP262220:DNP262225 DXL262220:DXL262225 EHH262220:EHH262225 ERD262220:ERD262225 FAZ262220:FAZ262225 FKV262220:FKV262225 FUR262220:FUR262225 GEN262220:GEN262225 GOJ262220:GOJ262225 GYF262220:GYF262225 HIB262220:HIB262225 HRX262220:HRX262225 IBT262220:IBT262225 ILP262220:ILP262225 IVL262220:IVL262225 JFH262220:JFH262225 JPD262220:JPD262225 JYZ262220:JYZ262225 KIV262220:KIV262225 KSR262220:KSR262225 LCN262220:LCN262225 LMJ262220:LMJ262225 LWF262220:LWF262225 MGB262220:MGB262225 MPX262220:MPX262225 MZT262220:MZT262225 NJP262220:NJP262225 NTL262220:NTL262225 ODH262220:ODH262225 OND262220:OND262225 OWZ262220:OWZ262225 PGV262220:PGV262225 PQR262220:PQR262225 QAN262220:QAN262225 QKJ262220:QKJ262225 QUF262220:QUF262225 REB262220:REB262225 RNX262220:RNX262225 RXT262220:RXT262225 SHP262220:SHP262225 SRL262220:SRL262225 TBH262220:TBH262225 TLD262220:TLD262225 TUZ262220:TUZ262225 UEV262220:UEV262225 UOR262220:UOR262225 UYN262220:UYN262225 VIJ262220:VIJ262225 VSF262220:VSF262225 WCB262220:WCB262225 WLX262220:WLX262225 WVT262220:WVT262225 K327756:K327761 JH327756:JH327761 TD327756:TD327761 ACZ327756:ACZ327761 AMV327756:AMV327761 AWR327756:AWR327761 BGN327756:BGN327761 BQJ327756:BQJ327761 CAF327756:CAF327761 CKB327756:CKB327761 CTX327756:CTX327761 DDT327756:DDT327761 DNP327756:DNP327761 DXL327756:DXL327761 EHH327756:EHH327761 ERD327756:ERD327761 FAZ327756:FAZ327761 FKV327756:FKV327761 FUR327756:FUR327761 GEN327756:GEN327761 GOJ327756:GOJ327761 GYF327756:GYF327761 HIB327756:HIB327761 HRX327756:HRX327761 IBT327756:IBT327761 ILP327756:ILP327761 IVL327756:IVL327761 JFH327756:JFH327761 JPD327756:JPD327761 JYZ327756:JYZ327761 KIV327756:KIV327761 KSR327756:KSR327761 LCN327756:LCN327761 LMJ327756:LMJ327761 LWF327756:LWF327761 MGB327756:MGB327761 MPX327756:MPX327761 MZT327756:MZT327761 NJP327756:NJP327761 NTL327756:NTL327761 ODH327756:ODH327761 OND327756:OND327761 OWZ327756:OWZ327761 PGV327756:PGV327761 PQR327756:PQR327761 QAN327756:QAN327761 QKJ327756:QKJ327761 QUF327756:QUF327761 REB327756:REB327761 RNX327756:RNX327761 RXT327756:RXT327761 SHP327756:SHP327761 SRL327756:SRL327761 TBH327756:TBH327761 TLD327756:TLD327761 TUZ327756:TUZ327761 UEV327756:UEV327761 UOR327756:UOR327761 UYN327756:UYN327761 VIJ327756:VIJ327761 VSF327756:VSF327761 WCB327756:WCB327761 WLX327756:WLX327761 WVT327756:WVT327761 K393292:K393297 JH393292:JH393297 TD393292:TD393297 ACZ393292:ACZ393297 AMV393292:AMV393297 AWR393292:AWR393297 BGN393292:BGN393297 BQJ393292:BQJ393297 CAF393292:CAF393297 CKB393292:CKB393297 CTX393292:CTX393297 DDT393292:DDT393297 DNP393292:DNP393297 DXL393292:DXL393297 EHH393292:EHH393297 ERD393292:ERD393297 FAZ393292:FAZ393297 FKV393292:FKV393297 FUR393292:FUR393297 GEN393292:GEN393297 GOJ393292:GOJ393297 GYF393292:GYF393297 HIB393292:HIB393297 HRX393292:HRX393297 IBT393292:IBT393297 ILP393292:ILP393297 IVL393292:IVL393297 JFH393292:JFH393297 JPD393292:JPD393297 JYZ393292:JYZ393297 KIV393292:KIV393297 KSR393292:KSR393297 LCN393292:LCN393297 LMJ393292:LMJ393297 LWF393292:LWF393297 MGB393292:MGB393297 MPX393292:MPX393297 MZT393292:MZT393297 NJP393292:NJP393297 NTL393292:NTL393297 ODH393292:ODH393297 OND393292:OND393297 OWZ393292:OWZ393297 PGV393292:PGV393297 PQR393292:PQR393297 QAN393292:QAN393297 QKJ393292:QKJ393297 QUF393292:QUF393297 REB393292:REB393297 RNX393292:RNX393297 RXT393292:RXT393297 SHP393292:SHP393297 SRL393292:SRL393297 TBH393292:TBH393297 TLD393292:TLD393297 TUZ393292:TUZ393297 UEV393292:UEV393297 UOR393292:UOR393297 UYN393292:UYN393297 VIJ393292:VIJ393297 VSF393292:VSF393297 WCB393292:WCB393297 WLX393292:WLX393297 WVT393292:WVT393297 K458828:K458833 JH458828:JH458833 TD458828:TD458833 ACZ458828:ACZ458833 AMV458828:AMV458833 AWR458828:AWR458833 BGN458828:BGN458833 BQJ458828:BQJ458833 CAF458828:CAF458833 CKB458828:CKB458833 CTX458828:CTX458833 DDT458828:DDT458833 DNP458828:DNP458833 DXL458828:DXL458833 EHH458828:EHH458833 ERD458828:ERD458833 FAZ458828:FAZ458833 FKV458828:FKV458833 FUR458828:FUR458833 GEN458828:GEN458833 GOJ458828:GOJ458833 GYF458828:GYF458833 HIB458828:HIB458833 HRX458828:HRX458833 IBT458828:IBT458833 ILP458828:ILP458833 IVL458828:IVL458833 JFH458828:JFH458833 JPD458828:JPD458833 JYZ458828:JYZ458833 KIV458828:KIV458833 KSR458828:KSR458833 LCN458828:LCN458833 LMJ458828:LMJ458833 LWF458828:LWF458833 MGB458828:MGB458833 MPX458828:MPX458833 MZT458828:MZT458833 NJP458828:NJP458833 NTL458828:NTL458833 ODH458828:ODH458833 OND458828:OND458833 OWZ458828:OWZ458833 PGV458828:PGV458833 PQR458828:PQR458833 QAN458828:QAN458833 QKJ458828:QKJ458833 QUF458828:QUF458833 REB458828:REB458833 RNX458828:RNX458833 RXT458828:RXT458833 SHP458828:SHP458833 SRL458828:SRL458833 TBH458828:TBH458833 TLD458828:TLD458833 TUZ458828:TUZ458833 UEV458828:UEV458833 UOR458828:UOR458833 UYN458828:UYN458833 VIJ458828:VIJ458833 VSF458828:VSF458833 WCB458828:WCB458833 WLX458828:WLX458833 WVT458828:WVT458833 K524364:K524369 JH524364:JH524369 TD524364:TD524369 ACZ524364:ACZ524369 AMV524364:AMV524369 AWR524364:AWR524369 BGN524364:BGN524369 BQJ524364:BQJ524369 CAF524364:CAF524369 CKB524364:CKB524369 CTX524364:CTX524369 DDT524364:DDT524369 DNP524364:DNP524369 DXL524364:DXL524369 EHH524364:EHH524369 ERD524364:ERD524369 FAZ524364:FAZ524369 FKV524364:FKV524369 FUR524364:FUR524369 GEN524364:GEN524369 GOJ524364:GOJ524369 GYF524364:GYF524369 HIB524364:HIB524369 HRX524364:HRX524369 IBT524364:IBT524369 ILP524364:ILP524369 IVL524364:IVL524369 JFH524364:JFH524369 JPD524364:JPD524369 JYZ524364:JYZ524369 KIV524364:KIV524369 KSR524364:KSR524369 LCN524364:LCN524369 LMJ524364:LMJ524369 LWF524364:LWF524369 MGB524364:MGB524369 MPX524364:MPX524369 MZT524364:MZT524369 NJP524364:NJP524369 NTL524364:NTL524369 ODH524364:ODH524369 OND524364:OND524369 OWZ524364:OWZ524369 PGV524364:PGV524369 PQR524364:PQR524369 QAN524364:QAN524369 QKJ524364:QKJ524369 QUF524364:QUF524369 REB524364:REB524369 RNX524364:RNX524369 RXT524364:RXT524369 SHP524364:SHP524369 SRL524364:SRL524369 TBH524364:TBH524369 TLD524364:TLD524369 TUZ524364:TUZ524369 UEV524364:UEV524369 UOR524364:UOR524369 UYN524364:UYN524369 VIJ524364:VIJ524369 VSF524364:VSF524369 WCB524364:WCB524369 WLX524364:WLX524369 WVT524364:WVT524369 K589900:K589905 JH589900:JH589905 TD589900:TD589905 ACZ589900:ACZ589905 AMV589900:AMV589905 AWR589900:AWR589905 BGN589900:BGN589905 BQJ589900:BQJ589905 CAF589900:CAF589905 CKB589900:CKB589905 CTX589900:CTX589905 DDT589900:DDT589905 DNP589900:DNP589905 DXL589900:DXL589905 EHH589900:EHH589905 ERD589900:ERD589905 FAZ589900:FAZ589905 FKV589900:FKV589905 FUR589900:FUR589905 GEN589900:GEN589905 GOJ589900:GOJ589905 GYF589900:GYF589905 HIB589900:HIB589905 HRX589900:HRX589905 IBT589900:IBT589905 ILP589900:ILP589905 IVL589900:IVL589905 JFH589900:JFH589905 JPD589900:JPD589905 JYZ589900:JYZ589905 KIV589900:KIV589905 KSR589900:KSR589905 LCN589900:LCN589905 LMJ589900:LMJ589905 LWF589900:LWF589905 MGB589900:MGB589905 MPX589900:MPX589905 MZT589900:MZT589905 NJP589900:NJP589905 NTL589900:NTL589905 ODH589900:ODH589905 OND589900:OND589905 OWZ589900:OWZ589905 PGV589900:PGV589905 PQR589900:PQR589905 QAN589900:QAN589905 QKJ589900:QKJ589905 QUF589900:QUF589905 REB589900:REB589905 RNX589900:RNX589905 RXT589900:RXT589905 SHP589900:SHP589905 SRL589900:SRL589905 TBH589900:TBH589905 TLD589900:TLD589905 TUZ589900:TUZ589905 UEV589900:UEV589905 UOR589900:UOR589905 UYN589900:UYN589905 VIJ589900:VIJ589905 VSF589900:VSF589905 WCB589900:WCB589905 WLX589900:WLX589905 WVT589900:WVT589905 K655436:K655441 JH655436:JH655441 TD655436:TD655441 ACZ655436:ACZ655441 AMV655436:AMV655441 AWR655436:AWR655441 BGN655436:BGN655441 BQJ655436:BQJ655441 CAF655436:CAF655441 CKB655436:CKB655441 CTX655436:CTX655441 DDT655436:DDT655441 DNP655436:DNP655441 DXL655436:DXL655441 EHH655436:EHH655441 ERD655436:ERD655441 FAZ655436:FAZ655441 FKV655436:FKV655441 FUR655436:FUR655441 GEN655436:GEN655441 GOJ655436:GOJ655441 GYF655436:GYF655441 HIB655436:HIB655441 HRX655436:HRX655441 IBT655436:IBT655441 ILP655436:ILP655441 IVL655436:IVL655441 JFH655436:JFH655441 JPD655436:JPD655441 JYZ655436:JYZ655441 KIV655436:KIV655441 KSR655436:KSR655441 LCN655436:LCN655441 LMJ655436:LMJ655441 LWF655436:LWF655441 MGB655436:MGB655441 MPX655436:MPX655441 MZT655436:MZT655441 NJP655436:NJP655441 NTL655436:NTL655441 ODH655436:ODH655441 OND655436:OND655441 OWZ655436:OWZ655441 PGV655436:PGV655441 PQR655436:PQR655441 QAN655436:QAN655441 QKJ655436:QKJ655441 QUF655436:QUF655441 REB655436:REB655441 RNX655436:RNX655441 RXT655436:RXT655441 SHP655436:SHP655441 SRL655436:SRL655441 TBH655436:TBH655441 TLD655436:TLD655441 TUZ655436:TUZ655441 UEV655436:UEV655441 UOR655436:UOR655441 UYN655436:UYN655441 VIJ655436:VIJ655441 VSF655436:VSF655441 WCB655436:WCB655441 WLX655436:WLX655441 WVT655436:WVT655441 K720972:K720977 JH720972:JH720977 TD720972:TD720977 ACZ720972:ACZ720977 AMV720972:AMV720977 AWR720972:AWR720977 BGN720972:BGN720977 BQJ720972:BQJ720977 CAF720972:CAF720977 CKB720972:CKB720977 CTX720972:CTX720977 DDT720972:DDT720977 DNP720972:DNP720977 DXL720972:DXL720977 EHH720972:EHH720977 ERD720972:ERD720977 FAZ720972:FAZ720977 FKV720972:FKV720977 FUR720972:FUR720977 GEN720972:GEN720977 GOJ720972:GOJ720977 GYF720972:GYF720977 HIB720972:HIB720977 HRX720972:HRX720977 IBT720972:IBT720977 ILP720972:ILP720977 IVL720972:IVL720977 JFH720972:JFH720977 JPD720972:JPD720977 JYZ720972:JYZ720977 KIV720972:KIV720977 KSR720972:KSR720977 LCN720972:LCN720977 LMJ720972:LMJ720977 LWF720972:LWF720977 MGB720972:MGB720977 MPX720972:MPX720977 MZT720972:MZT720977 NJP720972:NJP720977 NTL720972:NTL720977 ODH720972:ODH720977 OND720972:OND720977 OWZ720972:OWZ720977 PGV720972:PGV720977 PQR720972:PQR720977 QAN720972:QAN720977 QKJ720972:QKJ720977 QUF720972:QUF720977 REB720972:REB720977 RNX720972:RNX720977 RXT720972:RXT720977 SHP720972:SHP720977 SRL720972:SRL720977 TBH720972:TBH720977 TLD720972:TLD720977 TUZ720972:TUZ720977 UEV720972:UEV720977 UOR720972:UOR720977 UYN720972:UYN720977 VIJ720972:VIJ720977 VSF720972:VSF720977 WCB720972:WCB720977 WLX720972:WLX720977 WVT720972:WVT720977 K786508:K786513 JH786508:JH786513 TD786508:TD786513 ACZ786508:ACZ786513 AMV786508:AMV786513 AWR786508:AWR786513 BGN786508:BGN786513 BQJ786508:BQJ786513 CAF786508:CAF786513 CKB786508:CKB786513 CTX786508:CTX786513 DDT786508:DDT786513 DNP786508:DNP786513 DXL786508:DXL786513 EHH786508:EHH786513 ERD786508:ERD786513 FAZ786508:FAZ786513 FKV786508:FKV786513 FUR786508:FUR786513 GEN786508:GEN786513 GOJ786508:GOJ786513 GYF786508:GYF786513 HIB786508:HIB786513 HRX786508:HRX786513 IBT786508:IBT786513 ILP786508:ILP786513 IVL786508:IVL786513 JFH786508:JFH786513 JPD786508:JPD786513 JYZ786508:JYZ786513 KIV786508:KIV786513 KSR786508:KSR786513 LCN786508:LCN786513 LMJ786508:LMJ786513 LWF786508:LWF786513 MGB786508:MGB786513 MPX786508:MPX786513 MZT786508:MZT786513 NJP786508:NJP786513 NTL786508:NTL786513 ODH786508:ODH786513 OND786508:OND786513 OWZ786508:OWZ786513 PGV786508:PGV786513 PQR786508:PQR786513 QAN786508:QAN786513 QKJ786508:QKJ786513 QUF786508:QUF786513 REB786508:REB786513 RNX786508:RNX786513 RXT786508:RXT786513 SHP786508:SHP786513 SRL786508:SRL786513 TBH786508:TBH786513 TLD786508:TLD786513 TUZ786508:TUZ786513 UEV786508:UEV786513 UOR786508:UOR786513 UYN786508:UYN786513 VIJ786508:VIJ786513 VSF786508:VSF786513 WCB786508:WCB786513 WLX786508:WLX786513 WVT786508:WVT786513 K852044:K852049 JH852044:JH852049 TD852044:TD852049 ACZ852044:ACZ852049 AMV852044:AMV852049 AWR852044:AWR852049 BGN852044:BGN852049 BQJ852044:BQJ852049 CAF852044:CAF852049 CKB852044:CKB852049 CTX852044:CTX852049 DDT852044:DDT852049 DNP852044:DNP852049 DXL852044:DXL852049 EHH852044:EHH852049 ERD852044:ERD852049 FAZ852044:FAZ852049 FKV852044:FKV852049 FUR852044:FUR852049 GEN852044:GEN852049 GOJ852044:GOJ852049 GYF852044:GYF852049 HIB852044:HIB852049 HRX852044:HRX852049 IBT852044:IBT852049 ILP852044:ILP852049 IVL852044:IVL852049 JFH852044:JFH852049 JPD852044:JPD852049 JYZ852044:JYZ852049 KIV852044:KIV852049 KSR852044:KSR852049 LCN852044:LCN852049 LMJ852044:LMJ852049 LWF852044:LWF852049 MGB852044:MGB852049 MPX852044:MPX852049 MZT852044:MZT852049 NJP852044:NJP852049 NTL852044:NTL852049 ODH852044:ODH852049 OND852044:OND852049 OWZ852044:OWZ852049 PGV852044:PGV852049 PQR852044:PQR852049 QAN852044:QAN852049 QKJ852044:QKJ852049 QUF852044:QUF852049 REB852044:REB852049 RNX852044:RNX852049 RXT852044:RXT852049 SHP852044:SHP852049 SRL852044:SRL852049 TBH852044:TBH852049 TLD852044:TLD852049 TUZ852044:TUZ852049 UEV852044:UEV852049 UOR852044:UOR852049 UYN852044:UYN852049 VIJ852044:VIJ852049 VSF852044:VSF852049 WCB852044:WCB852049 WLX852044:WLX852049 WVT852044:WVT852049 K917580:K917585 JH917580:JH917585 TD917580:TD917585 ACZ917580:ACZ917585 AMV917580:AMV917585 AWR917580:AWR917585 BGN917580:BGN917585 BQJ917580:BQJ917585 CAF917580:CAF917585 CKB917580:CKB917585 CTX917580:CTX917585 DDT917580:DDT917585 DNP917580:DNP917585 DXL917580:DXL917585 EHH917580:EHH917585 ERD917580:ERD917585 FAZ917580:FAZ917585 FKV917580:FKV917585 FUR917580:FUR917585 GEN917580:GEN917585 GOJ917580:GOJ917585 GYF917580:GYF917585 HIB917580:HIB917585 HRX917580:HRX917585 IBT917580:IBT917585 ILP917580:ILP917585 IVL917580:IVL917585 JFH917580:JFH917585 JPD917580:JPD917585 JYZ917580:JYZ917585 KIV917580:KIV917585 KSR917580:KSR917585 LCN917580:LCN917585 LMJ917580:LMJ917585 LWF917580:LWF917585 MGB917580:MGB917585 MPX917580:MPX917585 MZT917580:MZT917585 NJP917580:NJP917585 NTL917580:NTL917585 ODH917580:ODH917585 OND917580:OND917585 OWZ917580:OWZ917585 PGV917580:PGV917585 PQR917580:PQR917585 QAN917580:QAN917585 QKJ917580:QKJ917585 QUF917580:QUF917585 REB917580:REB917585 RNX917580:RNX917585 RXT917580:RXT917585 SHP917580:SHP917585 SRL917580:SRL917585 TBH917580:TBH917585 TLD917580:TLD917585 TUZ917580:TUZ917585 UEV917580:UEV917585 UOR917580:UOR917585 UYN917580:UYN917585 VIJ917580:VIJ917585 VSF917580:VSF917585 WCB917580:WCB917585 WLX917580:WLX917585 WVT917580:WVT917585 K983116:K983121 JH983116:JH983121 TD983116:TD983121 ACZ983116:ACZ983121 AMV983116:AMV983121 AWR983116:AWR983121 BGN983116:BGN983121 BQJ983116:BQJ983121 CAF983116:CAF983121 CKB983116:CKB983121 CTX983116:CTX983121 DDT983116:DDT983121 DNP983116:DNP983121 DXL983116:DXL983121 EHH983116:EHH983121 ERD983116:ERD983121 FAZ983116:FAZ983121 FKV983116:FKV983121 FUR983116:FUR983121 GEN983116:GEN983121 GOJ983116:GOJ983121 GYF983116:GYF983121 HIB983116:HIB983121 HRX983116:HRX983121 IBT983116:IBT983121 ILP983116:ILP983121 IVL983116:IVL983121 JFH983116:JFH983121 JPD983116:JPD983121 JYZ983116:JYZ983121 KIV983116:KIV983121 KSR983116:KSR983121 LCN983116:LCN983121 LMJ983116:LMJ983121 LWF983116:LWF983121 MGB983116:MGB983121 MPX983116:MPX983121 MZT983116:MZT983121 NJP983116:NJP983121 NTL983116:NTL983121 ODH983116:ODH983121 OND983116:OND983121 OWZ983116:OWZ983121 PGV983116:PGV983121 PQR983116:PQR983121 QAN983116:QAN983121 QKJ983116:QKJ983121 QUF983116:QUF983121 REB983116:REB983121 RNX983116:RNX983121 RXT983116:RXT983121 SHP983116:SHP983121 SRL983116:SRL983121 TBH983116:TBH983121 TLD983116:TLD983121 TUZ983116:TUZ983121 UEV983116:UEV983121 UOR983116:UOR983121 UYN983116:UYN983121 VIJ983116:VIJ983121 VSF983116:VSF983121 WCB983116:WCB983121 WLX983116:WLX983121 JH14:JH18 WVT14:WVT18 WLX14:WLX18 WCB14:WCB18 VSF14:VSF18 VIJ14:VIJ18 UYN14:UYN18 UOR14:UOR18 UEV14:UEV18 TUZ14:TUZ18 TLD14:TLD18 TBH14:TBH18 SRL14:SRL18 SHP14:SHP18 RXT14:RXT18 RNX14:RNX18 REB14:REB18 QUF14:QUF18 QKJ14:QKJ18 QAN14:QAN18 PQR14:PQR18 PGV14:PGV18 OWZ14:OWZ18 OND14:OND18 ODH14:ODH18 NTL14:NTL18 NJP14:NJP18 MZT14:MZT18 MPX14:MPX18 MGB14:MGB18 LWF14:LWF18 LMJ14:LMJ18 LCN14:LCN18 KSR14:KSR18 KIV14:KIV18 JYZ14:JYZ18 JPD14:JPD18 JFH14:JFH18 IVL14:IVL18 ILP14:ILP18 IBT14:IBT18 HRX14:HRX18 HIB14:HIB18 GYF14:GYF18 GOJ14:GOJ18 GEN14:GEN18 FUR14:FUR18 FKV14:FKV18 FAZ14:FAZ18 ERD14:ERD18 EHH14:EHH18 DXL14:DXL18 DNP14:DNP18 DDT14:DDT18 CTX14:CTX18 CKB14:CKB18 CAF14:CAF18 BQJ14:BQJ18 BGN14:BGN18 AWR14:AWR18 AMV14:AMV18 ACZ14:ACZ18 TD14:TD18">
      <formula1>"NCMOI01,NCMOI02,NCMOI03,NCMOI01-BH,NCMOI02-BH,NCMOI03-BH,NCCD01,NCCD02,NCCD03,NCCD01-BH,NCCD02-BH,NCCD03-BH,NCGH01,NCGH02,NCGH03,NCGH01-BH,NCGH02-BH,NCGH03-BH,NCMTL"</formula1>
    </dataValidation>
    <dataValidation type="list" allowBlank="1" showInputMessage="1" showErrorMessage="1" sqref="K4 JH4 TD4 ACZ4 AMV4 AWR4 BGN4 BQJ4 CAF4 CKB4 CTX4 DDT4 DNP4 DXL4 EHH4 ERD4 FAZ4 FKV4 FUR4 GEN4 GOJ4 GYF4 HIB4 HRX4 IBT4 ILP4 IVL4 JFH4 JPD4 JYZ4 KIV4 KSR4 LCN4 LMJ4 LWF4 MGB4 MPX4 MZT4 NJP4 NTL4 ODH4 OND4 OWZ4 PGV4 PQR4 QAN4 QKJ4 QUF4 REB4 RNX4 RXT4 SHP4 SRL4 TBH4 TLD4 TUZ4 UEV4 UOR4 UYN4 VIJ4 VSF4 WCB4 WLX4 WVT4 K65602 JH65602 TD65602 ACZ65602 AMV65602 AWR65602 BGN65602 BQJ65602 CAF65602 CKB65602 CTX65602 DDT65602 DNP65602 DXL65602 EHH65602 ERD65602 FAZ65602 FKV65602 FUR65602 GEN65602 GOJ65602 GYF65602 HIB65602 HRX65602 IBT65602 ILP65602 IVL65602 JFH65602 JPD65602 JYZ65602 KIV65602 KSR65602 LCN65602 LMJ65602 LWF65602 MGB65602 MPX65602 MZT65602 NJP65602 NTL65602 ODH65602 OND65602 OWZ65602 PGV65602 PQR65602 QAN65602 QKJ65602 QUF65602 REB65602 RNX65602 RXT65602 SHP65602 SRL65602 TBH65602 TLD65602 TUZ65602 UEV65602 UOR65602 UYN65602 VIJ65602 VSF65602 WCB65602 WLX65602 WVT65602 K131138 JH131138 TD131138 ACZ131138 AMV131138 AWR131138 BGN131138 BQJ131138 CAF131138 CKB131138 CTX131138 DDT131138 DNP131138 DXL131138 EHH131138 ERD131138 FAZ131138 FKV131138 FUR131138 GEN131138 GOJ131138 GYF131138 HIB131138 HRX131138 IBT131138 ILP131138 IVL131138 JFH131138 JPD131138 JYZ131138 KIV131138 KSR131138 LCN131138 LMJ131138 LWF131138 MGB131138 MPX131138 MZT131138 NJP131138 NTL131138 ODH131138 OND131138 OWZ131138 PGV131138 PQR131138 QAN131138 QKJ131138 QUF131138 REB131138 RNX131138 RXT131138 SHP131138 SRL131138 TBH131138 TLD131138 TUZ131138 UEV131138 UOR131138 UYN131138 VIJ131138 VSF131138 WCB131138 WLX131138 WVT131138 K196674 JH196674 TD196674 ACZ196674 AMV196674 AWR196674 BGN196674 BQJ196674 CAF196674 CKB196674 CTX196674 DDT196674 DNP196674 DXL196674 EHH196674 ERD196674 FAZ196674 FKV196674 FUR196674 GEN196674 GOJ196674 GYF196674 HIB196674 HRX196674 IBT196674 ILP196674 IVL196674 JFH196674 JPD196674 JYZ196674 KIV196674 KSR196674 LCN196674 LMJ196674 LWF196674 MGB196674 MPX196674 MZT196674 NJP196674 NTL196674 ODH196674 OND196674 OWZ196674 PGV196674 PQR196674 QAN196674 QKJ196674 QUF196674 REB196674 RNX196674 RXT196674 SHP196674 SRL196674 TBH196674 TLD196674 TUZ196674 UEV196674 UOR196674 UYN196674 VIJ196674 VSF196674 WCB196674 WLX196674 WVT196674 K262210 JH262210 TD262210 ACZ262210 AMV262210 AWR262210 BGN262210 BQJ262210 CAF262210 CKB262210 CTX262210 DDT262210 DNP262210 DXL262210 EHH262210 ERD262210 FAZ262210 FKV262210 FUR262210 GEN262210 GOJ262210 GYF262210 HIB262210 HRX262210 IBT262210 ILP262210 IVL262210 JFH262210 JPD262210 JYZ262210 KIV262210 KSR262210 LCN262210 LMJ262210 LWF262210 MGB262210 MPX262210 MZT262210 NJP262210 NTL262210 ODH262210 OND262210 OWZ262210 PGV262210 PQR262210 QAN262210 QKJ262210 QUF262210 REB262210 RNX262210 RXT262210 SHP262210 SRL262210 TBH262210 TLD262210 TUZ262210 UEV262210 UOR262210 UYN262210 VIJ262210 VSF262210 WCB262210 WLX262210 WVT262210 K327746 JH327746 TD327746 ACZ327746 AMV327746 AWR327746 BGN327746 BQJ327746 CAF327746 CKB327746 CTX327746 DDT327746 DNP327746 DXL327746 EHH327746 ERD327746 FAZ327746 FKV327746 FUR327746 GEN327746 GOJ327746 GYF327746 HIB327746 HRX327746 IBT327746 ILP327746 IVL327746 JFH327746 JPD327746 JYZ327746 KIV327746 KSR327746 LCN327746 LMJ327746 LWF327746 MGB327746 MPX327746 MZT327746 NJP327746 NTL327746 ODH327746 OND327746 OWZ327746 PGV327746 PQR327746 QAN327746 QKJ327746 QUF327746 REB327746 RNX327746 RXT327746 SHP327746 SRL327746 TBH327746 TLD327746 TUZ327746 UEV327746 UOR327746 UYN327746 VIJ327746 VSF327746 WCB327746 WLX327746 WVT327746 K393282 JH393282 TD393282 ACZ393282 AMV393282 AWR393282 BGN393282 BQJ393282 CAF393282 CKB393282 CTX393282 DDT393282 DNP393282 DXL393282 EHH393282 ERD393282 FAZ393282 FKV393282 FUR393282 GEN393282 GOJ393282 GYF393282 HIB393282 HRX393282 IBT393282 ILP393282 IVL393282 JFH393282 JPD393282 JYZ393282 KIV393282 KSR393282 LCN393282 LMJ393282 LWF393282 MGB393282 MPX393282 MZT393282 NJP393282 NTL393282 ODH393282 OND393282 OWZ393282 PGV393282 PQR393282 QAN393282 QKJ393282 QUF393282 REB393282 RNX393282 RXT393282 SHP393282 SRL393282 TBH393282 TLD393282 TUZ393282 UEV393282 UOR393282 UYN393282 VIJ393282 VSF393282 WCB393282 WLX393282 WVT393282 K458818 JH458818 TD458818 ACZ458818 AMV458818 AWR458818 BGN458818 BQJ458818 CAF458818 CKB458818 CTX458818 DDT458818 DNP458818 DXL458818 EHH458818 ERD458818 FAZ458818 FKV458818 FUR458818 GEN458818 GOJ458818 GYF458818 HIB458818 HRX458818 IBT458818 ILP458818 IVL458818 JFH458818 JPD458818 JYZ458818 KIV458818 KSR458818 LCN458818 LMJ458818 LWF458818 MGB458818 MPX458818 MZT458818 NJP458818 NTL458818 ODH458818 OND458818 OWZ458818 PGV458818 PQR458818 QAN458818 QKJ458818 QUF458818 REB458818 RNX458818 RXT458818 SHP458818 SRL458818 TBH458818 TLD458818 TUZ458818 UEV458818 UOR458818 UYN458818 VIJ458818 VSF458818 WCB458818 WLX458818 WVT458818 K524354 JH524354 TD524354 ACZ524354 AMV524354 AWR524354 BGN524354 BQJ524354 CAF524354 CKB524354 CTX524354 DDT524354 DNP524354 DXL524354 EHH524354 ERD524354 FAZ524354 FKV524354 FUR524354 GEN524354 GOJ524354 GYF524354 HIB524354 HRX524354 IBT524354 ILP524354 IVL524354 JFH524354 JPD524354 JYZ524354 KIV524354 KSR524354 LCN524354 LMJ524354 LWF524354 MGB524354 MPX524354 MZT524354 NJP524354 NTL524354 ODH524354 OND524354 OWZ524354 PGV524354 PQR524354 QAN524354 QKJ524354 QUF524354 REB524354 RNX524354 RXT524354 SHP524354 SRL524354 TBH524354 TLD524354 TUZ524354 UEV524354 UOR524354 UYN524354 VIJ524354 VSF524354 WCB524354 WLX524354 WVT524354 K589890 JH589890 TD589890 ACZ589890 AMV589890 AWR589890 BGN589890 BQJ589890 CAF589890 CKB589890 CTX589890 DDT589890 DNP589890 DXL589890 EHH589890 ERD589890 FAZ589890 FKV589890 FUR589890 GEN589890 GOJ589890 GYF589890 HIB589890 HRX589890 IBT589890 ILP589890 IVL589890 JFH589890 JPD589890 JYZ589890 KIV589890 KSR589890 LCN589890 LMJ589890 LWF589890 MGB589890 MPX589890 MZT589890 NJP589890 NTL589890 ODH589890 OND589890 OWZ589890 PGV589890 PQR589890 QAN589890 QKJ589890 QUF589890 REB589890 RNX589890 RXT589890 SHP589890 SRL589890 TBH589890 TLD589890 TUZ589890 UEV589890 UOR589890 UYN589890 VIJ589890 VSF589890 WCB589890 WLX589890 WVT589890 K655426 JH655426 TD655426 ACZ655426 AMV655426 AWR655426 BGN655426 BQJ655426 CAF655426 CKB655426 CTX655426 DDT655426 DNP655426 DXL655426 EHH655426 ERD655426 FAZ655426 FKV655426 FUR655426 GEN655426 GOJ655426 GYF655426 HIB655426 HRX655426 IBT655426 ILP655426 IVL655426 JFH655426 JPD655426 JYZ655426 KIV655426 KSR655426 LCN655426 LMJ655426 LWF655426 MGB655426 MPX655426 MZT655426 NJP655426 NTL655426 ODH655426 OND655426 OWZ655426 PGV655426 PQR655426 QAN655426 QKJ655426 QUF655426 REB655426 RNX655426 RXT655426 SHP655426 SRL655426 TBH655426 TLD655426 TUZ655426 UEV655426 UOR655426 UYN655426 VIJ655426 VSF655426 WCB655426 WLX655426 WVT655426 K720962 JH720962 TD720962 ACZ720962 AMV720962 AWR720962 BGN720962 BQJ720962 CAF720962 CKB720962 CTX720962 DDT720962 DNP720962 DXL720962 EHH720962 ERD720962 FAZ720962 FKV720962 FUR720962 GEN720962 GOJ720962 GYF720962 HIB720962 HRX720962 IBT720962 ILP720962 IVL720962 JFH720962 JPD720962 JYZ720962 KIV720962 KSR720962 LCN720962 LMJ720962 LWF720962 MGB720962 MPX720962 MZT720962 NJP720962 NTL720962 ODH720962 OND720962 OWZ720962 PGV720962 PQR720962 QAN720962 QKJ720962 QUF720962 REB720962 RNX720962 RXT720962 SHP720962 SRL720962 TBH720962 TLD720962 TUZ720962 UEV720962 UOR720962 UYN720962 VIJ720962 VSF720962 WCB720962 WLX720962 WVT720962 K786498 JH786498 TD786498 ACZ786498 AMV786498 AWR786498 BGN786498 BQJ786498 CAF786498 CKB786498 CTX786498 DDT786498 DNP786498 DXL786498 EHH786498 ERD786498 FAZ786498 FKV786498 FUR786498 GEN786498 GOJ786498 GYF786498 HIB786498 HRX786498 IBT786498 ILP786498 IVL786498 JFH786498 JPD786498 JYZ786498 KIV786498 KSR786498 LCN786498 LMJ786498 LWF786498 MGB786498 MPX786498 MZT786498 NJP786498 NTL786498 ODH786498 OND786498 OWZ786498 PGV786498 PQR786498 QAN786498 QKJ786498 QUF786498 REB786498 RNX786498 RXT786498 SHP786498 SRL786498 TBH786498 TLD786498 TUZ786498 UEV786498 UOR786498 UYN786498 VIJ786498 VSF786498 WCB786498 WLX786498 WVT786498 K852034 JH852034 TD852034 ACZ852034 AMV852034 AWR852034 BGN852034 BQJ852034 CAF852034 CKB852034 CTX852034 DDT852034 DNP852034 DXL852034 EHH852034 ERD852034 FAZ852034 FKV852034 FUR852034 GEN852034 GOJ852034 GYF852034 HIB852034 HRX852034 IBT852034 ILP852034 IVL852034 JFH852034 JPD852034 JYZ852034 KIV852034 KSR852034 LCN852034 LMJ852034 LWF852034 MGB852034 MPX852034 MZT852034 NJP852034 NTL852034 ODH852034 OND852034 OWZ852034 PGV852034 PQR852034 QAN852034 QKJ852034 QUF852034 REB852034 RNX852034 RXT852034 SHP852034 SRL852034 TBH852034 TLD852034 TUZ852034 UEV852034 UOR852034 UYN852034 VIJ852034 VSF852034 WCB852034 WLX852034 WVT852034 K917570 JH917570 TD917570 ACZ917570 AMV917570 AWR917570 BGN917570 BQJ917570 CAF917570 CKB917570 CTX917570 DDT917570 DNP917570 DXL917570 EHH917570 ERD917570 FAZ917570 FKV917570 FUR917570 GEN917570 GOJ917570 GYF917570 HIB917570 HRX917570 IBT917570 ILP917570 IVL917570 JFH917570 JPD917570 JYZ917570 KIV917570 KSR917570 LCN917570 LMJ917570 LWF917570 MGB917570 MPX917570 MZT917570 NJP917570 NTL917570 ODH917570 OND917570 OWZ917570 PGV917570 PQR917570 QAN917570 QKJ917570 QUF917570 REB917570 RNX917570 RXT917570 SHP917570 SRL917570 TBH917570 TLD917570 TUZ917570 UEV917570 UOR917570 UYN917570 VIJ917570 VSF917570 WCB917570 WLX917570 WVT917570 K983106 JH983106 TD983106 ACZ983106 AMV983106 AWR983106 BGN983106 BQJ983106 CAF983106 CKB983106 CTX983106 DDT983106 DNP983106 DXL983106 EHH983106 ERD983106 FAZ983106 FKV983106 FUR983106 GEN983106 GOJ983106 GYF983106 HIB983106 HRX983106 IBT983106 ILP983106 IVL983106 JFH983106 JPD983106 JYZ983106 KIV983106 KSR983106 LCN983106 LMJ983106 LWF983106 MGB983106 MPX983106 MZT983106 NJP983106 NTL983106 ODH983106 OND983106 OWZ983106 PGV983106 PQR983106 QAN983106 QKJ983106 QUF983106 REB983106 RNX983106 RXT983106 SHP983106 SRL983106 TBH983106 TLD983106 TUZ983106 UEV983106 UOR983106 UYN983106 VIJ983106 VSF983106 WCB983106 WLX983106 WVT983106">
      <formula1>"CKMOI01,CKMOI02,CKMOI03,CKCD01,CKCD02,CKCD03,CKGH01,CKGH02,CKGH03"</formula1>
    </dataValidation>
  </dataValidations>
  <hyperlinks>
    <hyperlink ref="I20" r:id="rId1"/>
    <hyperlink ref="I19" r:id="rId2"/>
    <hyperlink ref="I15" r:id="rId3"/>
    <hyperlink ref="I16" r:id="rId4"/>
    <hyperlink ref="I14" r:id="rId5"/>
    <hyperlink ref="I13" r:id="rId6"/>
    <hyperlink ref="I12" r:id="rId7"/>
    <hyperlink ref="I9" r:id="rId8"/>
    <hyperlink ref="I5" r:id="rId9"/>
    <hyperlink ref="I23" r:id="rId10"/>
    <hyperlink ref="I24" r:id="rId11"/>
    <hyperlink ref="I26" r:id="rId12"/>
    <hyperlink ref="I27" r:id="rId13"/>
    <hyperlink ref="I28" r:id="rId14"/>
    <hyperlink ref="I30" r:id="rId15"/>
    <hyperlink ref="I31" r:id="rId16"/>
    <hyperlink ref="I33" r:id="rId17"/>
    <hyperlink ref="I34" r:id="rId18"/>
    <hyperlink ref="I36" r:id="rId19"/>
    <hyperlink ref="I37" r:id="rId20"/>
    <hyperlink ref="I41" r:id="rId21"/>
    <hyperlink ref="I42" r:id="rId22"/>
    <hyperlink ref="I43" r:id="rId23"/>
    <hyperlink ref="I44" r:id="rId24"/>
    <hyperlink ref="I46" r:id="rId25"/>
    <hyperlink ref="I49" r:id="rId26"/>
    <hyperlink ref="I50" r:id="rId27"/>
    <hyperlink ref="I52" r:id="rId28"/>
    <hyperlink ref="I53" r:id="rId29"/>
    <hyperlink ref="I54" r:id="rId30"/>
    <hyperlink ref="I55" r:id="rId31"/>
    <hyperlink ref="I56:I58" r:id="rId32" display="duongktiq@gmail.com"/>
    <hyperlink ref="I60" r:id="rId33"/>
    <hyperlink ref="I61" r:id="rId34"/>
    <hyperlink ref="I62" r:id="rId35"/>
    <hyperlink ref="I63" r:id="rId36"/>
    <hyperlink ref="I64" r:id="rId37"/>
    <hyperlink ref="I65" r:id="rId38"/>
    <hyperlink ref="I67" r:id="rId39"/>
    <hyperlink ref="I128" r:id="rId40"/>
    <hyperlink ref="I129" r:id="rId41"/>
    <hyperlink ref="I130" r:id="rId42"/>
    <hyperlink ref="I131" r:id="rId43"/>
    <hyperlink ref="I132" r:id="rId44"/>
    <hyperlink ref="I134" r:id="rId45"/>
    <hyperlink ref="I135" r:id="rId46"/>
    <hyperlink ref="I136" r:id="rId47"/>
    <hyperlink ref="I137" r:id="rId48"/>
    <hyperlink ref="I138" r:id="rId49"/>
    <hyperlink ref="I140" r:id="rId50"/>
    <hyperlink ref="I141" r:id="rId51"/>
    <hyperlink ref="I143" r:id="rId52"/>
    <hyperlink ref="I144" r:id="rId53"/>
    <hyperlink ref="J150" r:id="rId54"/>
    <hyperlink ref="I154" r:id="rId55"/>
    <hyperlink ref="I158" r:id="rId56"/>
    <hyperlink ref="I164" r:id="rId57"/>
    <hyperlink ref="I165" r:id="rId58"/>
    <hyperlink ref="I167" r:id="rId59"/>
    <hyperlink ref="I170" r:id="rId60"/>
    <hyperlink ref="I173" r:id="rId61"/>
    <hyperlink ref="I174" r:id="rId62"/>
    <hyperlink ref="I175" r:id="rId63"/>
    <hyperlink ref="I182" r:id="rId64"/>
    <hyperlink ref="I183" r:id="rId65"/>
    <hyperlink ref="I185" r:id="rId66"/>
    <hyperlink ref="I163" r:id="rId67"/>
    <hyperlink ref="I186" r:id="rId68"/>
    <hyperlink ref="I113" r:id="rId69"/>
    <hyperlink ref="I191" r:id="rId70"/>
    <hyperlink ref="I198" r:id="rId71"/>
    <hyperlink ref="I200" r:id="rId72"/>
    <hyperlink ref="I203" r:id="rId73"/>
    <hyperlink ref="I293" r:id="rId74"/>
    <hyperlink ref="I303" r:id="rId75"/>
    <hyperlink ref="I304" r:id="rId76"/>
    <hyperlink ref="I73" r:id="rId77"/>
    <hyperlink ref="I86" r:id="rId78"/>
    <hyperlink ref="I318" r:id="rId79"/>
    <hyperlink ref="I328" r:id="rId80"/>
    <hyperlink ref="I308" r:id="rId81"/>
    <hyperlink ref="I332" r:id="rId82"/>
    <hyperlink ref="I348" r:id="rId83"/>
    <hyperlink ref="I358" r:id="rId84"/>
    <hyperlink ref="I359" r:id="rId85"/>
    <hyperlink ref="I360" r:id="rId86"/>
    <hyperlink ref="I376" r:id="rId87"/>
    <hyperlink ref="I380" r:id="rId88"/>
    <hyperlink ref="I381" r:id="rId89"/>
    <hyperlink ref="H390" r:id="rId90" display="lelam210666@gmail.com"/>
    <hyperlink ref="I390" r:id="rId91"/>
    <hyperlink ref="I391" r:id="rId92"/>
    <hyperlink ref="I392" r:id="rId93"/>
    <hyperlink ref="I395" r:id="rId94"/>
    <hyperlink ref="I403" r:id="rId95" display="nga.nguyen@vietnambizcare.com"/>
    <hyperlink ref="I406" r:id="rId96"/>
    <hyperlink ref="I407" r:id="rId97"/>
    <hyperlink ref="I410" r:id="rId98"/>
    <hyperlink ref="I417" r:id="rId99"/>
    <hyperlink ref="I429" r:id="rId100"/>
    <hyperlink ref="I439" r:id="rId101"/>
    <hyperlink ref="I442" r:id="rId102"/>
    <hyperlink ref="I450" r:id="rId103"/>
    <hyperlink ref="I454" r:id="rId104"/>
    <hyperlink ref="I455" r:id="rId105"/>
    <hyperlink ref="I458" r:id="rId106"/>
    <hyperlink ref="I486" r:id="rId107"/>
    <hyperlink ref="I497" r:id="rId108"/>
    <hyperlink ref="I531" r:id="rId109"/>
    <hyperlink ref="I532" r:id="rId110"/>
    <hyperlink ref="I533" r:id="rId111"/>
    <hyperlink ref="I570" r:id="rId112"/>
  </hyperlinks>
  <pageMargins left="0.7" right="0.7" top="0.75" bottom="0.75" header="0.3" footer="0.3"/>
  <pageSetup orientation="portrait" r:id="rId113"/>
  <drawing r:id="rId1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CTV THU</vt:lpstr>
      <vt:lpstr>CCT Thường Tín</vt:lpstr>
      <vt:lpstr>CCT Nam Từ Liêm</vt:lpstr>
      <vt:lpstr>CCT Hoang Mai</vt:lpstr>
      <vt:lpstr>A Chín</vt:lpstr>
      <vt:lpstr>EI tự làm KH lẻ</vt:lpstr>
      <vt:lpstr>EBH</vt:lpstr>
      <vt:lpstr>CKS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ketoan001</cp:lastModifiedBy>
  <dcterms:created xsi:type="dcterms:W3CDTF">2018-07-05T10:13:17Z</dcterms:created>
  <dcterms:modified xsi:type="dcterms:W3CDTF">2020-12-09T12:17:36Z</dcterms:modified>
</cp:coreProperties>
</file>